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an Koneru\Dropbox (SAB Capital)\SAB Capital\Analyst Team\Materials for Proposals &amp; OMs\"/>
    </mc:Choice>
  </mc:AlternateContent>
  <xr:revisionPtr revIDLastSave="0" documentId="13_ncr:1_{EA2631A0-6915-4C2A-9086-6890EDCAE275}" xr6:coauthVersionLast="47" xr6:coauthVersionMax="47" xr10:uidLastSave="{00000000-0000-0000-0000-000000000000}"/>
  <bookViews>
    <workbookView xWindow="-120" yWindow="-120" windowWidth="29040" windowHeight="15840" tabRatio="823" xr2:uid="{00000000-000D-0000-FFFF-FFFF00000000}"/>
  </bookViews>
  <sheets>
    <sheet name="Version History" sheetId="42" r:id="rId1"/>
    <sheet name="Pre Dev Costs" sheetId="34" r:id="rId2"/>
    <sheet name="Bio" sheetId="47" r:id="rId3"/>
    <sheet name="Recent Closings" sheetId="48" r:id="rId4"/>
    <sheet name="Input Page" sheetId="37" r:id="rId5"/>
    <sheet name="Asset Valuation" sheetId="45" r:id="rId6"/>
    <sheet name="Unit Mix" sheetId="8" r:id="rId7"/>
    <sheet name="Sale &amp; Rent Comparables" sheetId="46" r:id="rId8"/>
    <sheet name="Warehouse Cover" sheetId="30" r:id="rId9"/>
    <sheet name="Income &amp; OpEx" sheetId="22" r:id="rId10"/>
    <sheet name="Warehouse - 10 Year CF" sheetId="17" r:id="rId11"/>
    <sheet name="Perm - 15 Year CF" sheetId="16" r:id="rId12"/>
    <sheet name="Demographics" sheetId="49" r:id="rId13"/>
    <sheet name="Warehouse Exec Summary" sheetId="24" r:id="rId14"/>
    <sheet name="Warehouse Debt" sheetId="43" r:id="rId15"/>
    <sheet name="Warehouse Acq. Costs" sheetId="35" r:id="rId16"/>
    <sheet name="GP LP Returns" sheetId="39" r:id="rId17"/>
    <sheet name="LIHTC Cover" sheetId="32" r:id="rId18"/>
    <sheet name="LIHTC Exec Summary" sheetId="4" r:id="rId19"/>
    <sheet name="LIHTC Debt" sheetId="36" r:id="rId20"/>
    <sheet name="Development Costs" sheetId="7" r:id="rId21"/>
    <sheet name="Tax Credit Calculations" sheetId="6" r:id="rId22"/>
    <sheet name="Construction S&amp;U" sheetId="41" r:id="rId23"/>
    <sheet name="Timing-Leasing-TC Delivery" sheetId="40" r:id="rId24"/>
    <sheet name="RE Tax Analysis" sheetId="28" r:id="rId25"/>
  </sheets>
  <externalReferences>
    <externalReference r:id="rId26"/>
    <externalReference r:id="rId27"/>
    <externalReference r:id="rId28"/>
    <externalReference r:id="rId29"/>
  </externalReferences>
  <definedNames>
    <definedName name="_Key1" hidden="1">'[1]Home Sales'!#REF!</definedName>
    <definedName name="_Key2" hidden="1">#REF!</definedName>
    <definedName name="_Order1" hidden="1">255</definedName>
    <definedName name="_Order2" hidden="1">255</definedName>
    <definedName name="_Sort" hidden="1">'[1]Home Sales'!#REF!</definedName>
    <definedName name="AccessDatabase" hidden="1">"C:\Due Diligence\Takeover.mdb"</definedName>
    <definedName name="Building_Type">'[2]Drop-down menus'!$A$2:$A$9</definedName>
    <definedName name="DATA_01" hidden="1">#REF!</definedName>
    <definedName name="hhh" hidden="1">'[3]Home Sales'!#REF!</definedName>
    <definedName name="hhhh" hidden="1">'[3]Home Sales'!#REF!</definedName>
    <definedName name="IntroPrintArea" hidden="1">#REF!</definedName>
    <definedName name="MARKET">'[2]Drop-down menus'!$A$23:$A$27</definedName>
    <definedName name="Occupancy">'[2]Drop-down menus'!$A$12:$A$13</definedName>
    <definedName name="order1" hidden="1">0</definedName>
    <definedName name="_xlnm.Print_Area" localSheetId="22">'Construction S&amp;U'!$B$1:$AA$146</definedName>
    <definedName name="_xlnm.Print_Area" localSheetId="20">'Development Costs'!$A$1:$R$124</definedName>
    <definedName name="_xlnm.Print_Area" localSheetId="9">'Income &amp; OpEx'!$A$1:$P$236</definedName>
    <definedName name="_xlnm.Print_Area" localSheetId="19">'LIHTC Debt'!$A$1:$J$54</definedName>
    <definedName name="_xlnm.Print_Area" localSheetId="18">'LIHTC Exec Summary'!$A$1:$Q$48</definedName>
    <definedName name="_xlnm.Print_Area" localSheetId="11">'Perm - 15 Year CF'!$A$1:$S$144</definedName>
    <definedName name="_xlnm.Print_Area" localSheetId="1">'Pre Dev Costs'!$A$1:$G$68</definedName>
    <definedName name="_xlnm.Print_Area" localSheetId="24">'RE Tax Analysis'!$A$1:$B$24</definedName>
    <definedName name="_xlnm.Print_Area" localSheetId="21">'Tax Credit Calculations'!$A$1:$K$20</definedName>
    <definedName name="_xlnm.Print_Area" localSheetId="23">'Timing-Leasing-TC Delivery'!$E$1:$AA$72</definedName>
    <definedName name="_xlnm.Print_Area" localSheetId="6">'Unit Mix'!$B$1:$N$39</definedName>
    <definedName name="_xlnm.Print_Area" localSheetId="10">'Warehouse - 10 Year CF'!$A$1:$Q$120</definedName>
    <definedName name="_xlnm.Print_Area" localSheetId="15">'Warehouse Acq. Costs'!$B$1:$I$38</definedName>
    <definedName name="_xlnm.Print_Area" localSheetId="14">'Warehouse Debt'!$A$1:$J$54</definedName>
    <definedName name="_xlnm.Print_Area" localSheetId="13">'Warehouse Exec Summary'!$A$1:$R$58</definedName>
    <definedName name="Year1">'[4]LEASE UP'!$H$36</definedName>
    <definedName name="Year2">'[4]LEASE UP'!$T$36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4" i="7" l="1"/>
  <c r="F46" i="37"/>
  <c r="F12" i="49"/>
  <c r="E12" i="49"/>
  <c r="D12" i="49"/>
  <c r="G6" i="49"/>
  <c r="G5" i="49"/>
  <c r="J14" i="45" l="1"/>
  <c r="I14" i="45"/>
  <c r="I152" i="37" l="1"/>
  <c r="L31" i="46"/>
  <c r="L30" i="46"/>
  <c r="L29" i="46"/>
  <c r="L28" i="46"/>
  <c r="L26" i="46"/>
  <c r="L27" i="46"/>
  <c r="L25" i="46"/>
  <c r="L23" i="46"/>
  <c r="L24" i="46"/>
  <c r="L22" i="46"/>
  <c r="L19" i="46"/>
  <c r="L20" i="46"/>
  <c r="L21" i="46"/>
  <c r="L17" i="46"/>
  <c r="L18" i="46"/>
  <c r="L16" i="46"/>
  <c r="I153" i="37"/>
  <c r="I151" i="37"/>
  <c r="J8" i="48"/>
  <c r="J18" i="48"/>
  <c r="D18" i="48"/>
  <c r="D8" i="48"/>
  <c r="E33" i="24" l="1"/>
  <c r="E11" i="46"/>
  <c r="I11" i="46"/>
  <c r="J10" i="46"/>
  <c r="K10" i="46"/>
  <c r="K9" i="46"/>
  <c r="J9" i="46"/>
  <c r="J7" i="46"/>
  <c r="K7" i="46"/>
  <c r="K8" i="46"/>
  <c r="J8" i="46"/>
  <c r="J6" i="46"/>
  <c r="K6" i="46"/>
  <c r="M111" i="22"/>
  <c r="O111" i="22" s="1"/>
  <c r="M105" i="22"/>
  <c r="O105" i="22" s="1"/>
  <c r="M108" i="22"/>
  <c r="O108" i="22" s="1"/>
  <c r="M70" i="22"/>
  <c r="O70" i="22" s="1"/>
  <c r="M71" i="22"/>
  <c r="O71" i="22" s="1"/>
  <c r="M72" i="22"/>
  <c r="O72" i="22" s="1"/>
  <c r="M69" i="22"/>
  <c r="O69" i="22" s="1"/>
  <c r="F42" i="41"/>
  <c r="H42" i="41" s="1"/>
  <c r="J42" i="41" s="1"/>
  <c r="L42" i="41" s="1"/>
  <c r="N42" i="41" s="1"/>
  <c r="P42" i="41" s="1"/>
  <c r="R42" i="41" s="1"/>
  <c r="T42" i="41" s="1"/>
  <c r="V42" i="41" s="1"/>
  <c r="L73" i="7"/>
  <c r="B49" i="16"/>
  <c r="S4" i="24"/>
  <c r="R9" i="22"/>
  <c r="K11" i="46" l="1"/>
  <c r="J11" i="46"/>
  <c r="AC35" i="4"/>
  <c r="AB35" i="4"/>
  <c r="AA35" i="4"/>
  <c r="Z35" i="4"/>
  <c r="AC31" i="4"/>
  <c r="AB31" i="4"/>
  <c r="AA31" i="4"/>
  <c r="Z31" i="4"/>
  <c r="AC21" i="4"/>
  <c r="AB21" i="4"/>
  <c r="AA21" i="4"/>
  <c r="Z21" i="4"/>
  <c r="X16" i="4"/>
  <c r="X23" i="4"/>
  <c r="K251" i="22"/>
  <c r="X24" i="4" s="1"/>
  <c r="K250" i="22"/>
  <c r="K249" i="22"/>
  <c r="X22" i="4" s="1"/>
  <c r="R54" i="7"/>
  <c r="N54" i="7" s="1"/>
  <c r="H10" i="35"/>
  <c r="F37" i="4"/>
  <c r="F36" i="4"/>
  <c r="C64" i="22"/>
  <c r="E64" i="22"/>
  <c r="G64" i="22"/>
  <c r="I64" i="22"/>
  <c r="K64" i="22"/>
  <c r="J161" i="37"/>
  <c r="J162" i="37"/>
  <c r="J163" i="37"/>
  <c r="J164" i="37"/>
  <c r="J165" i="37"/>
  <c r="J166" i="37"/>
  <c r="J167" i="37"/>
  <c r="J168" i="37"/>
  <c r="J169" i="37"/>
  <c r="B31" i="8"/>
  <c r="Q31" i="8" s="1"/>
  <c r="B32" i="8"/>
  <c r="S32" i="8" s="1"/>
  <c r="B33" i="8"/>
  <c r="Q33" i="8" s="1"/>
  <c r="B34" i="8"/>
  <c r="Q34" i="8" s="1"/>
  <c r="B35" i="8"/>
  <c r="Q35" i="8" s="1"/>
  <c r="B36" i="8"/>
  <c r="Q36" i="8" s="1"/>
  <c r="B30" i="8"/>
  <c r="B18" i="8"/>
  <c r="C18" i="8" s="1"/>
  <c r="B19" i="8"/>
  <c r="C19" i="8" s="1"/>
  <c r="B20" i="8"/>
  <c r="C20" i="8" s="1"/>
  <c r="B21" i="8"/>
  <c r="C21" i="8" s="1"/>
  <c r="B22" i="8"/>
  <c r="C22" i="8" s="1"/>
  <c r="B23" i="8"/>
  <c r="C23" i="8" s="1"/>
  <c r="B24" i="8"/>
  <c r="C24" i="8" s="1"/>
  <c r="B25" i="8"/>
  <c r="C25" i="8" s="1"/>
  <c r="B26" i="8"/>
  <c r="C26" i="8" s="1"/>
  <c r="B17" i="8"/>
  <c r="C17" i="8" s="1"/>
  <c r="B7" i="8"/>
  <c r="C7" i="8" s="1"/>
  <c r="B8" i="8"/>
  <c r="C8" i="8" s="1"/>
  <c r="B9" i="8"/>
  <c r="C9" i="8" s="1"/>
  <c r="B10" i="8"/>
  <c r="C10" i="8" s="1"/>
  <c r="B11" i="8"/>
  <c r="C11" i="8" s="1"/>
  <c r="B12" i="8"/>
  <c r="C12" i="8" s="1"/>
  <c r="B13" i="8"/>
  <c r="C13" i="8" s="1"/>
  <c r="B6" i="8"/>
  <c r="L94" i="7"/>
  <c r="E60" i="16"/>
  <c r="B60" i="16"/>
  <c r="Q63" i="22"/>
  <c r="R63" i="22"/>
  <c r="S63" i="22"/>
  <c r="B17" i="22"/>
  <c r="B16" i="16" s="1"/>
  <c r="B114" i="16"/>
  <c r="B112" i="16"/>
  <c r="B110" i="16"/>
  <c r="A101" i="16"/>
  <c r="B101" i="16"/>
  <c r="A102" i="16"/>
  <c r="B102" i="16"/>
  <c r="A103" i="16"/>
  <c r="B103" i="16"/>
  <c r="A104" i="16"/>
  <c r="B104" i="16"/>
  <c r="A105" i="16"/>
  <c r="B105" i="16"/>
  <c r="A106" i="16"/>
  <c r="B106" i="16"/>
  <c r="A107" i="16"/>
  <c r="B107" i="16"/>
  <c r="A100" i="16"/>
  <c r="B100" i="16"/>
  <c r="B99" i="16"/>
  <c r="B74" i="16"/>
  <c r="A75" i="16"/>
  <c r="B75" i="16"/>
  <c r="A76" i="16"/>
  <c r="B76" i="16"/>
  <c r="A77" i="16"/>
  <c r="B77" i="16"/>
  <c r="A78" i="16"/>
  <c r="B78" i="16"/>
  <c r="A79" i="16"/>
  <c r="B79" i="16"/>
  <c r="A80" i="16"/>
  <c r="B80" i="16"/>
  <c r="A81" i="16"/>
  <c r="B81" i="16"/>
  <c r="A82" i="16"/>
  <c r="B82" i="16"/>
  <c r="A83" i="16"/>
  <c r="B83" i="16"/>
  <c r="A84" i="16"/>
  <c r="B84" i="16"/>
  <c r="A85" i="16"/>
  <c r="B85" i="16"/>
  <c r="A86" i="16"/>
  <c r="B86" i="16"/>
  <c r="A87" i="16"/>
  <c r="B87" i="16"/>
  <c r="A88" i="16"/>
  <c r="B88" i="16"/>
  <c r="A89" i="16"/>
  <c r="B89" i="16"/>
  <c r="A90" i="16"/>
  <c r="B90" i="16"/>
  <c r="A91" i="16"/>
  <c r="B91" i="16"/>
  <c r="A92" i="16"/>
  <c r="B92" i="16"/>
  <c r="A93" i="16"/>
  <c r="B93" i="16"/>
  <c r="A94" i="16"/>
  <c r="B94" i="16"/>
  <c r="A95" i="16"/>
  <c r="B95" i="16"/>
  <c r="A73" i="16"/>
  <c r="B73" i="16"/>
  <c r="B72" i="16"/>
  <c r="A65" i="16"/>
  <c r="B65" i="16"/>
  <c r="B66" i="16"/>
  <c r="A67" i="16"/>
  <c r="B67" i="16"/>
  <c r="A68" i="16"/>
  <c r="B68" i="16"/>
  <c r="A69" i="16"/>
  <c r="B69" i="16"/>
  <c r="A64" i="16"/>
  <c r="B64" i="16"/>
  <c r="B63" i="16"/>
  <c r="A42" i="16"/>
  <c r="A43" i="16"/>
  <c r="A44" i="16"/>
  <c r="A45" i="16"/>
  <c r="A46" i="16"/>
  <c r="A47" i="16"/>
  <c r="A48" i="16"/>
  <c r="A49" i="16"/>
  <c r="A51" i="16"/>
  <c r="A52" i="16"/>
  <c r="A53" i="16"/>
  <c r="A54" i="16"/>
  <c r="A55" i="16"/>
  <c r="A56" i="16"/>
  <c r="A57" i="16"/>
  <c r="A58" i="16"/>
  <c r="A59" i="16"/>
  <c r="A41" i="16"/>
  <c r="B42" i="16"/>
  <c r="B43" i="16"/>
  <c r="B44" i="16"/>
  <c r="B45" i="16"/>
  <c r="B46" i="16"/>
  <c r="B47" i="16"/>
  <c r="B48" i="16"/>
  <c r="B50" i="16"/>
  <c r="B51" i="16"/>
  <c r="B52" i="16"/>
  <c r="B53" i="16"/>
  <c r="B54" i="16"/>
  <c r="B55" i="16"/>
  <c r="B56" i="16"/>
  <c r="B57" i="16"/>
  <c r="B58" i="16"/>
  <c r="B59" i="16"/>
  <c r="B41" i="16"/>
  <c r="B40" i="16"/>
  <c r="B39" i="16"/>
  <c r="B37" i="16"/>
  <c r="A31" i="16"/>
  <c r="A32" i="16"/>
  <c r="A33" i="16"/>
  <c r="A34" i="16"/>
  <c r="A30" i="16"/>
  <c r="B31" i="16"/>
  <c r="B32" i="16"/>
  <c r="B33" i="16"/>
  <c r="B34" i="16"/>
  <c r="B30" i="16"/>
  <c r="B29" i="16"/>
  <c r="A24" i="16"/>
  <c r="A25" i="16"/>
  <c r="A26" i="16"/>
  <c r="A23" i="16"/>
  <c r="B24" i="16"/>
  <c r="B25" i="16"/>
  <c r="B26" i="16"/>
  <c r="B23" i="16"/>
  <c r="B22" i="16"/>
  <c r="B20" i="16"/>
  <c r="A17" i="16"/>
  <c r="A16" i="16"/>
  <c r="B17" i="16"/>
  <c r="B15" i="16"/>
  <c r="A9" i="16"/>
  <c r="A10" i="16"/>
  <c r="A11" i="16"/>
  <c r="A12" i="16"/>
  <c r="A13" i="16"/>
  <c r="A8" i="16"/>
  <c r="B9" i="16"/>
  <c r="B10" i="16"/>
  <c r="B11" i="16"/>
  <c r="B12" i="16"/>
  <c r="B13" i="16"/>
  <c r="B8" i="16"/>
  <c r="B7" i="16"/>
  <c r="I161" i="37"/>
  <c r="I162" i="37"/>
  <c r="I163" i="37"/>
  <c r="I164" i="37"/>
  <c r="I165" i="37"/>
  <c r="I166" i="37"/>
  <c r="I167" i="37"/>
  <c r="I168" i="37"/>
  <c r="I169" i="37"/>
  <c r="L7" i="8"/>
  <c r="L8" i="8"/>
  <c r="L9" i="8"/>
  <c r="L10" i="8"/>
  <c r="L11" i="8"/>
  <c r="L12" i="8"/>
  <c r="L13" i="8"/>
  <c r="L6" i="8"/>
  <c r="M6" i="8"/>
  <c r="P152" i="37"/>
  <c r="M7" i="8" s="1"/>
  <c r="Q152" i="37"/>
  <c r="N7" i="8" s="1"/>
  <c r="P153" i="37"/>
  <c r="M8" i="8" s="1"/>
  <c r="Q153" i="37"/>
  <c r="P154" i="37"/>
  <c r="M9" i="8" s="1"/>
  <c r="Q154" i="37"/>
  <c r="N9" i="8" s="1"/>
  <c r="P155" i="37"/>
  <c r="M10" i="8" s="1"/>
  <c r="Q155" i="37"/>
  <c r="N10" i="8" s="1"/>
  <c r="P156" i="37"/>
  <c r="R156" i="37" s="1"/>
  <c r="Q156" i="37"/>
  <c r="S156" i="37" s="1"/>
  <c r="P11" i="8" s="1"/>
  <c r="P157" i="37"/>
  <c r="M12" i="8" s="1"/>
  <c r="Q157" i="37"/>
  <c r="S157" i="37" s="1"/>
  <c r="P12" i="8" s="1"/>
  <c r="P158" i="37"/>
  <c r="R158" i="37" s="1"/>
  <c r="Q158" i="37"/>
  <c r="S158" i="37" s="1"/>
  <c r="Q151" i="37"/>
  <c r="S151" i="37" s="1"/>
  <c r="P151" i="37"/>
  <c r="R151" i="37" s="1"/>
  <c r="L174" i="37"/>
  <c r="L175" i="37"/>
  <c r="L176" i="37"/>
  <c r="L177" i="37"/>
  <c r="L178" i="37"/>
  <c r="L179" i="37"/>
  <c r="L169" i="37"/>
  <c r="I154" i="37"/>
  <c r="I155" i="37"/>
  <c r="I156" i="37"/>
  <c r="I157" i="37"/>
  <c r="I158" i="37"/>
  <c r="C6" i="8" l="1"/>
  <c r="S31" i="8"/>
  <c r="Q32" i="8"/>
  <c r="N13" i="8"/>
  <c r="N6" i="8"/>
  <c r="N12" i="8"/>
  <c r="R157" i="37"/>
  <c r="O12" i="8" s="1"/>
  <c r="S33" i="8"/>
  <c r="L54" i="7"/>
  <c r="S153" i="37"/>
  <c r="P8" i="8" s="1"/>
  <c r="N8" i="8"/>
  <c r="S36" i="8"/>
  <c r="M13" i="8"/>
  <c r="S35" i="8"/>
  <c r="S155" i="37"/>
  <c r="N11" i="8"/>
  <c r="R153" i="37"/>
  <c r="O8" i="8" s="1"/>
  <c r="R155" i="37"/>
  <c r="M11" i="8"/>
  <c r="S34" i="8"/>
  <c r="S154" i="37"/>
  <c r="P9" i="8" s="1"/>
  <c r="R154" i="37"/>
  <c r="O9" i="8" s="1"/>
  <c r="S152" i="37"/>
  <c r="P7" i="8" s="1"/>
  <c r="F60" i="16"/>
  <c r="P13" i="8"/>
  <c r="O13" i="8"/>
  <c r="R152" i="37"/>
  <c r="O7" i="8" s="1"/>
  <c r="O11" i="8"/>
  <c r="I160" i="37"/>
  <c r="F72" i="7"/>
  <c r="L20" i="7"/>
  <c r="C82" i="41"/>
  <c r="Q15" i="4"/>
  <c r="G60" i="16" l="1"/>
  <c r="H60" i="16" l="1"/>
  <c r="G5" i="40"/>
  <c r="C5" i="22" s="1"/>
  <c r="G5" i="22" l="1"/>
  <c r="E5" i="22"/>
  <c r="I5" i="22"/>
  <c r="I60" i="16"/>
  <c r="J60" i="16" l="1"/>
  <c r="M8" i="40"/>
  <c r="K60" i="16" l="1"/>
  <c r="AD107" i="7"/>
  <c r="AD88" i="7"/>
  <c r="AD85" i="7"/>
  <c r="AD83" i="7"/>
  <c r="AD55" i="7"/>
  <c r="AD56" i="7"/>
  <c r="AD57" i="7"/>
  <c r="AD58" i="7"/>
  <c r="AD59" i="7"/>
  <c r="AD54" i="7"/>
  <c r="AD47" i="7"/>
  <c r="AD45" i="7"/>
  <c r="AD20" i="7"/>
  <c r="AD4" i="7"/>
  <c r="A1" i="34"/>
  <c r="D68" i="34"/>
  <c r="E6" i="34"/>
  <c r="E7" i="34"/>
  <c r="E8" i="34"/>
  <c r="E9" i="34"/>
  <c r="E10" i="34"/>
  <c r="E11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4" i="34"/>
  <c r="E35" i="34"/>
  <c r="E36" i="34"/>
  <c r="E37" i="34"/>
  <c r="E38" i="34"/>
  <c r="E39" i="34"/>
  <c r="E40" i="34"/>
  <c r="E41" i="34"/>
  <c r="E43" i="34"/>
  <c r="E44" i="34"/>
  <c r="E45" i="34"/>
  <c r="E46" i="34"/>
  <c r="E47" i="34"/>
  <c r="E48" i="34"/>
  <c r="E49" i="34"/>
  <c r="E50" i="34"/>
  <c r="E51" i="34"/>
  <c r="E52" i="34"/>
  <c r="E53" i="34"/>
  <c r="E54" i="34"/>
  <c r="E55" i="34"/>
  <c r="E56" i="34"/>
  <c r="E57" i="34"/>
  <c r="E58" i="34"/>
  <c r="E59" i="34"/>
  <c r="E60" i="34"/>
  <c r="E62" i="34"/>
  <c r="E63" i="34"/>
  <c r="E64" i="34"/>
  <c r="B50" i="34"/>
  <c r="B51" i="34"/>
  <c r="B52" i="34"/>
  <c r="B53" i="34"/>
  <c r="B58" i="34"/>
  <c r="A49" i="34"/>
  <c r="A50" i="34"/>
  <c r="A51" i="34"/>
  <c r="A52" i="34"/>
  <c r="A53" i="34"/>
  <c r="A54" i="34"/>
  <c r="A55" i="34"/>
  <c r="A56" i="34"/>
  <c r="A57" i="34"/>
  <c r="A58" i="34"/>
  <c r="A48" i="34"/>
  <c r="A47" i="34"/>
  <c r="B43" i="34"/>
  <c r="B46" i="34"/>
  <c r="B45" i="34"/>
  <c r="B44" i="34"/>
  <c r="A46" i="34"/>
  <c r="A45" i="34"/>
  <c r="A44" i="34"/>
  <c r="A43" i="34"/>
  <c r="B36" i="34"/>
  <c r="C124" i="16"/>
  <c r="C134" i="16"/>
  <c r="E137" i="16" s="1"/>
  <c r="B115" i="41"/>
  <c r="L85" i="7"/>
  <c r="M169" i="37"/>
  <c r="I173" i="37"/>
  <c r="L173" i="37" s="1"/>
  <c r="G29" i="8"/>
  <c r="G16" i="8"/>
  <c r="G5" i="8"/>
  <c r="G4" i="8"/>
  <c r="L60" i="16" l="1"/>
  <c r="E134" i="16"/>
  <c r="M60" i="16" l="1"/>
  <c r="E136" i="16"/>
  <c r="E135" i="16" s="1"/>
  <c r="F134" i="16" s="1"/>
  <c r="N60" i="16" l="1"/>
  <c r="F136" i="16"/>
  <c r="F135" i="16" s="1"/>
  <c r="F137" i="16" s="1"/>
  <c r="O60" i="16" l="1"/>
  <c r="G134" i="16"/>
  <c r="G136" i="16" s="1"/>
  <c r="G135" i="16" s="1"/>
  <c r="G137" i="16" s="1"/>
  <c r="P60" i="16" l="1"/>
  <c r="H134" i="16"/>
  <c r="Q60" i="16" l="1"/>
  <c r="H136" i="16"/>
  <c r="H135" i="16" s="1"/>
  <c r="H137" i="16" s="1"/>
  <c r="R60" i="16" l="1"/>
  <c r="I134" i="16"/>
  <c r="S60" i="16" l="1"/>
  <c r="I136" i="16"/>
  <c r="I135" i="16" s="1"/>
  <c r="I137" i="16" s="1"/>
  <c r="J134" i="16" l="1"/>
  <c r="J136" i="16" s="1"/>
  <c r="J135" i="16" s="1"/>
  <c r="J137" i="16" s="1"/>
  <c r="K134" i="16" l="1"/>
  <c r="K136" i="16" l="1"/>
  <c r="K135" i="16" s="1"/>
  <c r="K137" i="16" s="1"/>
  <c r="L134" i="16" l="1"/>
  <c r="L136" i="16" l="1"/>
  <c r="L135" i="16" s="1"/>
  <c r="L137" i="16" s="1"/>
  <c r="M134" i="16" l="1"/>
  <c r="M136" i="16" l="1"/>
  <c r="M135" i="16" s="1"/>
  <c r="M137" i="16" s="1"/>
  <c r="N134" i="16" l="1"/>
  <c r="N136" i="16" l="1"/>
  <c r="N135" i="16" s="1"/>
  <c r="N137" i="16" s="1"/>
  <c r="O134" i="16" l="1"/>
  <c r="O136" i="16" l="1"/>
  <c r="O135" i="16" s="1"/>
  <c r="O137" i="16" s="1"/>
  <c r="P134" i="16" l="1"/>
  <c r="P136" i="16" l="1"/>
  <c r="P135" i="16" s="1"/>
  <c r="P137" i="16" s="1"/>
  <c r="Q134" i="16" l="1"/>
  <c r="Q136" i="16" l="1"/>
  <c r="Q135" i="16" s="1"/>
  <c r="Q137" i="16" s="1"/>
  <c r="R134" i="16" l="1"/>
  <c r="R136" i="16" l="1"/>
  <c r="R135" i="16" s="1"/>
  <c r="R137" i="16" s="1"/>
  <c r="S134" i="16" l="1"/>
  <c r="S136" i="16" s="1"/>
  <c r="S135" i="16" s="1"/>
  <c r="S137" i="16" s="1"/>
  <c r="I174" i="37" l="1"/>
  <c r="I175" i="37"/>
  <c r="I176" i="37"/>
  <c r="I177" i="37"/>
  <c r="I178" i="37"/>
  <c r="I179" i="37"/>
  <c r="G31" i="8"/>
  <c r="G32" i="8"/>
  <c r="G33" i="8"/>
  <c r="G34" i="8"/>
  <c r="G35" i="8"/>
  <c r="G36" i="8"/>
  <c r="G30" i="8"/>
  <c r="G19" i="8"/>
  <c r="G20" i="8"/>
  <c r="G21" i="8"/>
  <c r="G22" i="8"/>
  <c r="G24" i="8"/>
  <c r="J26" i="8"/>
  <c r="F29" i="8"/>
  <c r="F16" i="8"/>
  <c r="B29" i="8"/>
  <c r="B5" i="8"/>
  <c r="B16" i="8"/>
  <c r="T163" i="37"/>
  <c r="T174" i="37"/>
  <c r="V173" i="37"/>
  <c r="T173" i="37"/>
  <c r="G150" i="37"/>
  <c r="F5" i="8" s="1"/>
  <c r="L158" i="37"/>
  <c r="K158" i="37"/>
  <c r="K169" i="37"/>
  <c r="N169" i="37"/>
  <c r="N158" i="37"/>
  <c r="M158" i="37"/>
  <c r="V162" i="37"/>
  <c r="D6" i="8"/>
  <c r="G13" i="8"/>
  <c r="G6" i="36"/>
  <c r="Y167" i="37"/>
  <c r="Z167" i="37"/>
  <c r="AA167" i="37"/>
  <c r="AB167" i="37"/>
  <c r="Y168" i="37"/>
  <c r="Y180" i="37" s="1"/>
  <c r="Z168" i="37"/>
  <c r="Z180" i="37" s="1"/>
  <c r="AA168" i="37"/>
  <c r="AA180" i="37" s="1"/>
  <c r="AB168" i="37"/>
  <c r="AB180" i="37" s="1"/>
  <c r="Y169" i="37"/>
  <c r="Z169" i="37"/>
  <c r="AA169" i="37"/>
  <c r="AB169" i="37"/>
  <c r="Y170" i="37"/>
  <c r="Z170" i="37"/>
  <c r="AA170" i="37"/>
  <c r="AB170" i="37"/>
  <c r="Y171" i="37"/>
  <c r="Y182" i="37" s="1"/>
  <c r="Z171" i="37"/>
  <c r="Z182" i="37" s="1"/>
  <c r="AA171" i="37"/>
  <c r="AA182" i="37" s="1"/>
  <c r="AB171" i="37"/>
  <c r="AB182" i="37" s="1"/>
  <c r="Y172" i="37"/>
  <c r="Z172" i="37"/>
  <c r="AA172" i="37"/>
  <c r="AB172" i="37"/>
  <c r="Y173" i="37"/>
  <c r="Z173" i="37"/>
  <c r="AA173" i="37"/>
  <c r="AB173" i="37"/>
  <c r="AB166" i="37"/>
  <c r="AB178" i="37" s="1"/>
  <c r="AA166" i="37"/>
  <c r="AA178" i="37" s="1"/>
  <c r="Z166" i="37"/>
  <c r="Z178" i="37" s="1"/>
  <c r="Y166" i="37"/>
  <c r="AD167" i="37"/>
  <c r="AD168" i="37"/>
  <c r="AD180" i="37" s="1"/>
  <c r="AD169" i="37"/>
  <c r="AD170" i="37"/>
  <c r="AD171" i="37"/>
  <c r="AD182" i="37" s="1"/>
  <c r="AD172" i="37"/>
  <c r="AD173" i="37"/>
  <c r="AD166" i="37"/>
  <c r="AD178" i="37" s="1"/>
  <c r="AE167" i="37"/>
  <c r="AE168" i="37"/>
  <c r="AE180" i="37" s="1"/>
  <c r="Z153" i="37" s="1"/>
  <c r="AE169" i="37"/>
  <c r="AE170" i="37"/>
  <c r="AE171" i="37"/>
  <c r="AE182" i="37" s="1"/>
  <c r="Z155" i="37" s="1"/>
  <c r="AE172" i="37"/>
  <c r="AE173" i="37"/>
  <c r="AE166" i="37"/>
  <c r="AE178" i="37" s="1"/>
  <c r="Z151" i="37" s="1"/>
  <c r="AF167" i="37"/>
  <c r="AF168" i="37"/>
  <c r="AF180" i="37" s="1"/>
  <c r="AF169" i="37"/>
  <c r="AF170" i="37"/>
  <c r="AF171" i="37"/>
  <c r="AF182" i="37" s="1"/>
  <c r="AF172" i="37"/>
  <c r="AF173" i="37"/>
  <c r="AF166" i="37"/>
  <c r="AG167" i="37"/>
  <c r="AG168" i="37"/>
  <c r="AG180" i="37" s="1"/>
  <c r="AG169" i="37"/>
  <c r="AG170" i="37"/>
  <c r="AG171" i="37"/>
  <c r="AG182" i="37" s="1"/>
  <c r="AG172" i="37"/>
  <c r="AG173" i="37"/>
  <c r="AG166" i="37"/>
  <c r="AH167" i="37"/>
  <c r="AH168" i="37"/>
  <c r="AH180" i="37" s="1"/>
  <c r="AH169" i="37"/>
  <c r="AH170" i="37"/>
  <c r="AH171" i="37"/>
  <c r="AH182" i="37" s="1"/>
  <c r="AH172" i="37"/>
  <c r="AH173" i="37"/>
  <c r="AH166" i="37"/>
  <c r="AI167" i="37"/>
  <c r="AI168" i="37"/>
  <c r="AI180" i="37" s="1"/>
  <c r="AA153" i="37" s="1"/>
  <c r="AI169" i="37"/>
  <c r="AI170" i="37"/>
  <c r="AI171" i="37"/>
  <c r="AI182" i="37" s="1"/>
  <c r="AA155" i="37" s="1"/>
  <c r="AI172" i="37"/>
  <c r="AI173" i="37"/>
  <c r="AI166" i="37"/>
  <c r="AI178" i="37" s="1"/>
  <c r="AA151" i="37" s="1"/>
  <c r="Y161" i="37"/>
  <c r="Y162" i="37"/>
  <c r="AC178" i="37"/>
  <c r="Y151" i="37" s="1"/>
  <c r="AC179" i="37"/>
  <c r="Y152" i="37" s="1"/>
  <c r="M152" i="37" s="1"/>
  <c r="AC180" i="37"/>
  <c r="AC181" i="37"/>
  <c r="Y154" i="37" s="1"/>
  <c r="M157" i="37" s="1"/>
  <c r="AC182" i="37"/>
  <c r="Y155" i="37" s="1"/>
  <c r="AC183" i="37"/>
  <c r="Y156" i="37" s="1"/>
  <c r="Y177" i="37"/>
  <c r="Z177" i="37"/>
  <c r="AA177" i="37"/>
  <c r="AB177" i="37"/>
  <c r="AC177" i="37"/>
  <c r="AD177" i="37"/>
  <c r="AE177" i="37"/>
  <c r="AF177" i="37"/>
  <c r="AG177" i="37"/>
  <c r="AH177" i="37"/>
  <c r="AI177" i="37"/>
  <c r="AK183" i="37"/>
  <c r="Y197" i="37"/>
  <c r="Z197" i="37"/>
  <c r="K160" i="37" s="1"/>
  <c r="AA197" i="37"/>
  <c r="K155" i="37" s="1"/>
  <c r="AB197" i="37"/>
  <c r="K157" i="37" s="1"/>
  <c r="AC197" i="37"/>
  <c r="AD197" i="37"/>
  <c r="AA24" i="41"/>
  <c r="AA25" i="41"/>
  <c r="I106" i="7"/>
  <c r="I105" i="7"/>
  <c r="AD181" i="37" l="1"/>
  <c r="M154" i="37"/>
  <c r="Y153" i="37"/>
  <c r="M153" i="37"/>
  <c r="L160" i="37"/>
  <c r="J17" i="8" s="1"/>
  <c r="D24" i="8"/>
  <c r="M151" i="37"/>
  <c r="K6" i="8" s="1"/>
  <c r="K163" i="37"/>
  <c r="L163" i="37" s="1"/>
  <c r="J20" i="8" s="1"/>
  <c r="K154" i="37"/>
  <c r="M156" i="37"/>
  <c r="K11" i="8" s="1"/>
  <c r="K162" i="37"/>
  <c r="L162" i="37" s="1"/>
  <c r="J19" i="8" s="1"/>
  <c r="I8" i="8"/>
  <c r="M155" i="37"/>
  <c r="K10" i="8" s="1"/>
  <c r="K161" i="37"/>
  <c r="L161" i="37" s="1"/>
  <c r="J18" i="8" s="1"/>
  <c r="K168" i="37"/>
  <c r="L168" i="37" s="1"/>
  <c r="J25" i="8" s="1"/>
  <c r="K167" i="37"/>
  <c r="L167" i="37" s="1"/>
  <c r="K166" i="37"/>
  <c r="L166" i="37" s="1"/>
  <c r="J23" i="8" s="1"/>
  <c r="M168" i="37"/>
  <c r="M162" i="37"/>
  <c r="M163" i="37"/>
  <c r="M164" i="37"/>
  <c r="M165" i="37"/>
  <c r="K165" i="37"/>
  <c r="L165" i="37" s="1"/>
  <c r="J22" i="8" s="1"/>
  <c r="K156" i="37"/>
  <c r="I11" i="8" s="1"/>
  <c r="I17" i="8"/>
  <c r="AF183" i="37"/>
  <c r="AE183" i="37"/>
  <c r="Z156" i="37" s="1"/>
  <c r="K164" i="37"/>
  <c r="L164" i="37" s="1"/>
  <c r="J21" i="8" s="1"/>
  <c r="I26" i="8"/>
  <c r="E34" i="8"/>
  <c r="K12" i="8"/>
  <c r="E24" i="8"/>
  <c r="E22" i="8"/>
  <c r="D22" i="8"/>
  <c r="H24" i="8"/>
  <c r="F12" i="8"/>
  <c r="E19" i="8"/>
  <c r="F10" i="8"/>
  <c r="E21" i="8"/>
  <c r="D10" i="8"/>
  <c r="E20" i="8"/>
  <c r="F33" i="8"/>
  <c r="J33" i="8"/>
  <c r="F35" i="8"/>
  <c r="D8" i="8"/>
  <c r="D20" i="8"/>
  <c r="H34" i="8"/>
  <c r="I12" i="8"/>
  <c r="F25" i="8"/>
  <c r="J35" i="8"/>
  <c r="J34" i="8"/>
  <c r="I10" i="8"/>
  <c r="D19" i="8"/>
  <c r="H26" i="8"/>
  <c r="Q26" i="8"/>
  <c r="D30" i="8"/>
  <c r="E12" i="8"/>
  <c r="D35" i="8"/>
  <c r="E10" i="8"/>
  <c r="H18" i="8"/>
  <c r="E36" i="8"/>
  <c r="D23" i="8"/>
  <c r="G23" i="8"/>
  <c r="D9" i="8"/>
  <c r="E11" i="8"/>
  <c r="F11" i="8"/>
  <c r="D21" i="8"/>
  <c r="F24" i="8"/>
  <c r="Q24" i="8" s="1"/>
  <c r="H25" i="8"/>
  <c r="K22" i="8"/>
  <c r="D36" i="8"/>
  <c r="E35" i="8"/>
  <c r="F34" i="8"/>
  <c r="H31" i="8"/>
  <c r="D7" i="8"/>
  <c r="E9" i="8"/>
  <c r="F9" i="8"/>
  <c r="I9" i="8"/>
  <c r="K9" i="8"/>
  <c r="F22" i="8"/>
  <c r="H23" i="8"/>
  <c r="I25" i="8"/>
  <c r="D34" i="8"/>
  <c r="E33" i="8"/>
  <c r="F32" i="8"/>
  <c r="H32" i="8"/>
  <c r="E8" i="8"/>
  <c r="F8" i="8"/>
  <c r="K8" i="8"/>
  <c r="G17" i="8"/>
  <c r="F21" i="8"/>
  <c r="H22" i="8"/>
  <c r="S22" i="8" s="1"/>
  <c r="I24" i="8"/>
  <c r="D33" i="8"/>
  <c r="E32" i="8"/>
  <c r="F31" i="8"/>
  <c r="H17" i="8"/>
  <c r="J31" i="8"/>
  <c r="F23" i="8"/>
  <c r="D13" i="8"/>
  <c r="E7" i="8"/>
  <c r="F7" i="8"/>
  <c r="K7" i="8"/>
  <c r="G26" i="8"/>
  <c r="G18" i="8"/>
  <c r="F20" i="8"/>
  <c r="Q20" i="8" s="1"/>
  <c r="H21" i="8"/>
  <c r="J24" i="8"/>
  <c r="K26" i="8"/>
  <c r="D32" i="8"/>
  <c r="E31" i="8"/>
  <c r="H30" i="8"/>
  <c r="D12" i="8"/>
  <c r="E6" i="8"/>
  <c r="F6" i="8"/>
  <c r="Q6" i="8" s="1"/>
  <c r="S13" i="8"/>
  <c r="G25" i="8"/>
  <c r="F17" i="8"/>
  <c r="F19" i="8"/>
  <c r="H20" i="8"/>
  <c r="D31" i="8"/>
  <c r="F30" i="8"/>
  <c r="J30" i="8" s="1"/>
  <c r="H36" i="8"/>
  <c r="D11" i="8"/>
  <c r="E13" i="8"/>
  <c r="F13" i="8"/>
  <c r="H13" i="8"/>
  <c r="I13" i="8"/>
  <c r="J13" i="8"/>
  <c r="K13" i="8"/>
  <c r="Q13" i="8"/>
  <c r="F26" i="8"/>
  <c r="F18" i="8"/>
  <c r="H19" i="8"/>
  <c r="S26" i="8"/>
  <c r="E30" i="8"/>
  <c r="F36" i="8"/>
  <c r="H35" i="8"/>
  <c r="J36" i="8"/>
  <c r="J32" i="8"/>
  <c r="H33" i="8"/>
  <c r="V175" i="37"/>
  <c r="E23" i="8"/>
  <c r="E26" i="8"/>
  <c r="E18" i="8"/>
  <c r="D26" i="8"/>
  <c r="D18" i="8"/>
  <c r="E25" i="8"/>
  <c r="D25" i="8"/>
  <c r="D17" i="8"/>
  <c r="E17" i="8"/>
  <c r="AB183" i="37"/>
  <c r="AA181" i="37"/>
  <c r="Z181" i="37"/>
  <c r="AE181" i="37"/>
  <c r="Z154" i="37" s="1"/>
  <c r="AB181" i="37"/>
  <c r="AB179" i="37"/>
  <c r="AA179" i="37"/>
  <c r="Z179" i="37"/>
  <c r="AE179" i="37"/>
  <c r="Z152" i="37" s="1"/>
  <c r="AH179" i="37"/>
  <c r="AI179" i="37"/>
  <c r="AA152" i="37" s="1"/>
  <c r="AD183" i="37"/>
  <c r="AA183" i="37"/>
  <c r="AI181" i="37"/>
  <c r="AA154" i="37" s="1"/>
  <c r="Y181" i="37"/>
  <c r="AG183" i="37"/>
  <c r="AH178" i="37"/>
  <c r="AH181" i="37"/>
  <c r="Y179" i="37"/>
  <c r="AG179" i="37"/>
  <c r="AD179" i="37"/>
  <c r="AF179" i="37"/>
  <c r="Z183" i="37"/>
  <c r="AG181" i="37"/>
  <c r="AH183" i="37"/>
  <c r="Y183" i="37"/>
  <c r="AF181" i="37"/>
  <c r="AI183" i="37"/>
  <c r="AA156" i="37" s="1"/>
  <c r="Y178" i="37"/>
  <c r="AG178" i="37"/>
  <c r="AF178" i="37"/>
  <c r="L115" i="7"/>
  <c r="P116" i="7"/>
  <c r="N118" i="7"/>
  <c r="B24" i="34"/>
  <c r="A24" i="34"/>
  <c r="C70" i="41"/>
  <c r="D70" i="41" s="1"/>
  <c r="B70" i="41"/>
  <c r="R41" i="7"/>
  <c r="N41" i="7" s="1"/>
  <c r="T162" i="37"/>
  <c r="T164" i="37"/>
  <c r="T165" i="37"/>
  <c r="J8" i="8" l="1"/>
  <c r="Q30" i="8"/>
  <c r="S30" i="8"/>
  <c r="S20" i="8"/>
  <c r="K19" i="8"/>
  <c r="S18" i="8"/>
  <c r="K20" i="8"/>
  <c r="Q11" i="8"/>
  <c r="I20" i="8"/>
  <c r="K21" i="8"/>
  <c r="K25" i="8"/>
  <c r="S24" i="8"/>
  <c r="Q23" i="8"/>
  <c r="Q9" i="8"/>
  <c r="I18" i="8"/>
  <c r="I6" i="8"/>
  <c r="J6" i="8" s="1"/>
  <c r="I21" i="8"/>
  <c r="S23" i="8"/>
  <c r="Q10" i="8"/>
  <c r="Q21" i="8"/>
  <c r="M161" i="37"/>
  <c r="I23" i="8"/>
  <c r="M160" i="37"/>
  <c r="J160" i="37" s="1"/>
  <c r="Q25" i="8"/>
  <c r="I22" i="8"/>
  <c r="S21" i="8"/>
  <c r="M167" i="37"/>
  <c r="Q22" i="8"/>
  <c r="M166" i="37"/>
  <c r="S19" i="8"/>
  <c r="Q19" i="8"/>
  <c r="I19" i="8"/>
  <c r="Q8" i="8"/>
  <c r="I7" i="8"/>
  <c r="J7" i="8" s="1"/>
  <c r="Q17" i="8"/>
  <c r="Q7" i="8"/>
  <c r="Q12" i="8"/>
  <c r="S25" i="8"/>
  <c r="Q18" i="8"/>
  <c r="S17" i="8"/>
  <c r="V163" i="37"/>
  <c r="V165" i="37"/>
  <c r="V164" i="37"/>
  <c r="K17" i="8" l="1"/>
  <c r="K23" i="8"/>
  <c r="K18" i="8"/>
  <c r="K24" i="8"/>
  <c r="F33" i="39"/>
  <c r="K28" i="39"/>
  <c r="J28" i="39"/>
  <c r="I28" i="39"/>
  <c r="B38" i="34"/>
  <c r="B37" i="34"/>
  <c r="A38" i="34"/>
  <c r="A37" i="34"/>
  <c r="A36" i="34"/>
  <c r="A35" i="34"/>
  <c r="A34" i="34"/>
  <c r="B15" i="34"/>
  <c r="B16" i="34"/>
  <c r="B17" i="34"/>
  <c r="B18" i="34"/>
  <c r="B19" i="34"/>
  <c r="B20" i="34"/>
  <c r="B21" i="34"/>
  <c r="B22" i="34"/>
  <c r="B23" i="34"/>
  <c r="B25" i="34"/>
  <c r="B26" i="34"/>
  <c r="B27" i="34"/>
  <c r="B28" i="34"/>
  <c r="B14" i="34"/>
  <c r="A15" i="34"/>
  <c r="A16" i="34"/>
  <c r="A17" i="34"/>
  <c r="A18" i="34"/>
  <c r="A19" i="34"/>
  <c r="A20" i="34"/>
  <c r="A21" i="34"/>
  <c r="A22" i="34"/>
  <c r="A23" i="34"/>
  <c r="A25" i="34"/>
  <c r="A26" i="34"/>
  <c r="A27" i="34"/>
  <c r="A28" i="34"/>
  <c r="A14" i="34"/>
  <c r="B54" i="34" l="1"/>
  <c r="N120" i="17" l="1"/>
  <c r="P154" i="16"/>
  <c r="AB152" i="37"/>
  <c r="AB153" i="37"/>
  <c r="AB154" i="37"/>
  <c r="AB155" i="37"/>
  <c r="AB156" i="37"/>
  <c r="AB151" i="37"/>
  <c r="E8" i="4"/>
  <c r="P19" i="6"/>
  <c r="N168" i="37" l="1"/>
  <c r="N157" i="37"/>
  <c r="N166" i="37"/>
  <c r="N167" i="37"/>
  <c r="N160" i="37"/>
  <c r="N161" i="37"/>
  <c r="N151" i="37"/>
  <c r="N162" i="37"/>
  <c r="N152" i="37"/>
  <c r="N153" i="37"/>
  <c r="N163" i="37"/>
  <c r="N164" i="37"/>
  <c r="N154" i="37"/>
  <c r="N165" i="37"/>
  <c r="N155" i="37"/>
  <c r="N156" i="37"/>
  <c r="G37" i="6"/>
  <c r="I37" i="6" s="1"/>
  <c r="A1" i="22" l="1"/>
  <c r="R107" i="22" l="1"/>
  <c r="R109" i="22"/>
  <c r="R112" i="22"/>
  <c r="R105" i="22"/>
  <c r="R79" i="22"/>
  <c r="R80" i="22"/>
  <c r="R81" i="22"/>
  <c r="R83" i="22"/>
  <c r="R84" i="22"/>
  <c r="R85" i="22"/>
  <c r="R86" i="22"/>
  <c r="R87" i="22"/>
  <c r="R88" i="22"/>
  <c r="R90" i="22"/>
  <c r="R91" i="22"/>
  <c r="R92" i="22"/>
  <c r="R93" i="22"/>
  <c r="R94" i="22"/>
  <c r="R95" i="22"/>
  <c r="R96" i="22"/>
  <c r="R97" i="22"/>
  <c r="R98" i="22"/>
  <c r="R99" i="22"/>
  <c r="R100" i="22"/>
  <c r="R69" i="22"/>
  <c r="R70" i="22"/>
  <c r="R71" i="22"/>
  <c r="R72" i="22"/>
  <c r="R73" i="22"/>
  <c r="R68" i="22"/>
  <c r="R45" i="22"/>
  <c r="R46" i="22"/>
  <c r="R47" i="22"/>
  <c r="R50" i="22"/>
  <c r="R51" i="22"/>
  <c r="R53" i="22"/>
  <c r="R54" i="22"/>
  <c r="R56" i="22"/>
  <c r="R57" i="22"/>
  <c r="R60" i="22"/>
  <c r="R61" i="22"/>
  <c r="R62" i="22"/>
  <c r="R44" i="22"/>
  <c r="C19" i="22"/>
  <c r="E19" i="22"/>
  <c r="G19" i="22"/>
  <c r="I19" i="22"/>
  <c r="R33" i="22"/>
  <c r="R34" i="22"/>
  <c r="R35" i="22"/>
  <c r="R32" i="22"/>
  <c r="R26" i="22"/>
  <c r="R27" i="22"/>
  <c r="R28" i="22"/>
  <c r="R25" i="22"/>
  <c r="R10" i="22"/>
  <c r="R11" i="22"/>
  <c r="R13" i="22"/>
  <c r="W6" i="41"/>
  <c r="E127" i="16" l="1"/>
  <c r="F117" i="16"/>
  <c r="G117" i="16"/>
  <c r="H117" i="16"/>
  <c r="I117" i="16"/>
  <c r="J117" i="16"/>
  <c r="K117" i="16"/>
  <c r="L117" i="16"/>
  <c r="M117" i="16"/>
  <c r="N117" i="16"/>
  <c r="O117" i="16"/>
  <c r="P117" i="16"/>
  <c r="Q117" i="16"/>
  <c r="R117" i="16"/>
  <c r="S117" i="16"/>
  <c r="E117" i="16"/>
  <c r="E124" i="16" l="1"/>
  <c r="A1" i="16"/>
  <c r="B26" i="41"/>
  <c r="E126" i="16" l="1"/>
  <c r="E125" i="16" s="1"/>
  <c r="A1" i="36"/>
  <c r="A1" i="43"/>
  <c r="G6" i="43"/>
  <c r="F53" i="43"/>
  <c r="G53" i="43"/>
  <c r="H53" i="43"/>
  <c r="I53" i="43"/>
  <c r="J53" i="43"/>
  <c r="F54" i="43"/>
  <c r="G54" i="43"/>
  <c r="H54" i="43"/>
  <c r="I54" i="43"/>
  <c r="J54" i="43"/>
  <c r="F55" i="43"/>
  <c r="G55" i="43"/>
  <c r="H55" i="43"/>
  <c r="I55" i="43"/>
  <c r="J55" i="43"/>
  <c r="F56" i="43"/>
  <c r="G56" i="43"/>
  <c r="H56" i="43"/>
  <c r="I56" i="43"/>
  <c r="J56" i="43"/>
  <c r="F57" i="43"/>
  <c r="G57" i="43"/>
  <c r="H57" i="43"/>
  <c r="I57" i="43"/>
  <c r="J57" i="43"/>
  <c r="F58" i="43"/>
  <c r="G58" i="43"/>
  <c r="H58" i="43"/>
  <c r="I58" i="43"/>
  <c r="J58" i="43"/>
  <c r="F59" i="43"/>
  <c r="G59" i="43"/>
  <c r="H59" i="43"/>
  <c r="I59" i="43"/>
  <c r="J59" i="43"/>
  <c r="F60" i="43"/>
  <c r="G60" i="43"/>
  <c r="H60" i="43"/>
  <c r="I60" i="43"/>
  <c r="J60" i="43"/>
  <c r="F61" i="43"/>
  <c r="G61" i="43"/>
  <c r="H61" i="43"/>
  <c r="I61" i="43"/>
  <c r="J61" i="43"/>
  <c r="F62" i="43"/>
  <c r="G62" i="43"/>
  <c r="H62" i="43"/>
  <c r="I62" i="43"/>
  <c r="J62" i="43"/>
  <c r="F63" i="43"/>
  <c r="G63" i="43"/>
  <c r="H63" i="43"/>
  <c r="I63" i="43"/>
  <c r="J63" i="43"/>
  <c r="F64" i="43"/>
  <c r="G64" i="43"/>
  <c r="H64" i="43"/>
  <c r="I64" i="43"/>
  <c r="J64" i="43"/>
  <c r="P4" i="6"/>
  <c r="F124" i="16" l="1"/>
  <c r="F126" i="16" s="1"/>
  <c r="C15" i="43"/>
  <c r="C17" i="43"/>
  <c r="C24" i="43"/>
  <c r="C25" i="43"/>
  <c r="C27" i="43"/>
  <c r="C28" i="43"/>
  <c r="B36" i="43"/>
  <c r="A1" i="24"/>
  <c r="C29" i="43" l="1"/>
  <c r="F7" i="43" s="1"/>
  <c r="F125" i="16"/>
  <c r="F127" i="16" s="1"/>
  <c r="F8" i="43"/>
  <c r="E13" i="43"/>
  <c r="E14" i="43" s="1"/>
  <c r="B1" i="35"/>
  <c r="A1" i="17"/>
  <c r="G124" i="16" l="1"/>
  <c r="G126" i="16" s="1"/>
  <c r="G125" i="16" s="1"/>
  <c r="H10" i="8"/>
  <c r="S10" i="8" s="1"/>
  <c r="L155" i="37"/>
  <c r="J10" i="8" s="1"/>
  <c r="L154" i="37"/>
  <c r="J9" i="8" s="1"/>
  <c r="H9" i="8"/>
  <c r="S9" i="8" s="1"/>
  <c r="L157" i="37"/>
  <c r="J12" i="8" s="1"/>
  <c r="H12" i="8"/>
  <c r="S12" i="8" s="1"/>
  <c r="G11" i="8"/>
  <c r="H11" i="8"/>
  <c r="S11" i="8" s="1"/>
  <c r="L156" i="37"/>
  <c r="J11" i="8" s="1"/>
  <c r="E15" i="43"/>
  <c r="N30" i="40"/>
  <c r="B1" i="8"/>
  <c r="C34" i="36"/>
  <c r="G127" i="16" l="1"/>
  <c r="H124" i="16"/>
  <c r="H126" i="16" s="1"/>
  <c r="E16" i="43"/>
  <c r="H125" i="16" l="1"/>
  <c r="H127" i="16" s="1"/>
  <c r="E17" i="43"/>
  <c r="I124" i="16" l="1"/>
  <c r="I126" i="16" s="1"/>
  <c r="I125" i="16" s="1"/>
  <c r="I127" i="16" s="1"/>
  <c r="E18" i="43"/>
  <c r="V169" i="41"/>
  <c r="U169" i="41"/>
  <c r="T169" i="41"/>
  <c r="S169" i="41"/>
  <c r="R169" i="41"/>
  <c r="Q169" i="41"/>
  <c r="P169" i="41"/>
  <c r="O169" i="41"/>
  <c r="N169" i="41"/>
  <c r="M169" i="41"/>
  <c r="L169" i="41"/>
  <c r="K169" i="41"/>
  <c r="J169" i="41"/>
  <c r="I169" i="41"/>
  <c r="H169" i="41"/>
  <c r="G169" i="41"/>
  <c r="F169" i="41"/>
  <c r="E169" i="41"/>
  <c r="D169" i="41"/>
  <c r="F155" i="41"/>
  <c r="G155" i="41"/>
  <c r="H155" i="41"/>
  <c r="I155" i="41"/>
  <c r="J155" i="41"/>
  <c r="K155" i="41"/>
  <c r="L155" i="41"/>
  <c r="M155" i="41"/>
  <c r="N155" i="41"/>
  <c r="O155" i="41"/>
  <c r="P155" i="41"/>
  <c r="Q155" i="41"/>
  <c r="R155" i="41"/>
  <c r="S155" i="41"/>
  <c r="T155" i="41"/>
  <c r="U155" i="41"/>
  <c r="V155" i="41"/>
  <c r="E155" i="41"/>
  <c r="C157" i="41"/>
  <c r="A1" i="42"/>
  <c r="J124" i="16" l="1"/>
  <c r="E19" i="43"/>
  <c r="B28" i="41"/>
  <c r="C24" i="4"/>
  <c r="C23" i="4"/>
  <c r="C22" i="4"/>
  <c r="C21" i="4"/>
  <c r="C20" i="4"/>
  <c r="C19" i="4"/>
  <c r="C18" i="4"/>
  <c r="C17" i="4"/>
  <c r="C16" i="4"/>
  <c r="AB35" i="41"/>
  <c r="AA55" i="41"/>
  <c r="AA69" i="41"/>
  <c r="AA143" i="41"/>
  <c r="AB143" i="41" s="1"/>
  <c r="J126" i="16" l="1"/>
  <c r="J125" i="16" s="1"/>
  <c r="J127" i="16" s="1"/>
  <c r="E20" i="43"/>
  <c r="B140" i="41"/>
  <c r="C138" i="41"/>
  <c r="D138" i="41" s="1"/>
  <c r="AA138" i="41" s="1"/>
  <c r="AB138" i="41" s="1"/>
  <c r="B136" i="41"/>
  <c r="B137" i="41"/>
  <c r="B138" i="41"/>
  <c r="B135" i="41"/>
  <c r="B134" i="41"/>
  <c r="C128" i="41"/>
  <c r="D128" i="41" s="1"/>
  <c r="AA128" i="41" s="1"/>
  <c r="AB128" i="41" s="1"/>
  <c r="C129" i="41"/>
  <c r="D129" i="41" s="1"/>
  <c r="AA129" i="41" s="1"/>
  <c r="AB129" i="41" s="1"/>
  <c r="C131" i="41"/>
  <c r="D131" i="41" s="1"/>
  <c r="AA131" i="41" s="1"/>
  <c r="AB131" i="41" s="1"/>
  <c r="C132" i="41"/>
  <c r="D132" i="41" s="1"/>
  <c r="AA132" i="41" s="1"/>
  <c r="AB132" i="41" s="1"/>
  <c r="B128" i="41"/>
  <c r="B129" i="41"/>
  <c r="B130" i="41"/>
  <c r="B131" i="41"/>
  <c r="B132" i="41"/>
  <c r="B127" i="41"/>
  <c r="B126" i="41"/>
  <c r="C121" i="41"/>
  <c r="D121" i="41" s="1"/>
  <c r="AA121" i="41" s="1"/>
  <c r="AB121" i="41" s="1"/>
  <c r="C123" i="41"/>
  <c r="D123" i="41" s="1"/>
  <c r="AA123" i="41" s="1"/>
  <c r="AB123" i="41" s="1"/>
  <c r="C124" i="41"/>
  <c r="D124" i="41" s="1"/>
  <c r="AA124" i="41" s="1"/>
  <c r="AB124" i="41" s="1"/>
  <c r="B120" i="41"/>
  <c r="B121" i="41"/>
  <c r="B122" i="41"/>
  <c r="B123" i="41"/>
  <c r="B124" i="41"/>
  <c r="B119" i="41"/>
  <c r="B118" i="41"/>
  <c r="C106" i="41"/>
  <c r="D106" i="41" s="1"/>
  <c r="AA106" i="41" s="1"/>
  <c r="AB106" i="41" s="1"/>
  <c r="C107" i="41"/>
  <c r="D107" i="41" s="1"/>
  <c r="AA107" i="41" s="1"/>
  <c r="AB107" i="41" s="1"/>
  <c r="C108" i="41"/>
  <c r="D108" i="41" s="1"/>
  <c r="AA108" i="41" s="1"/>
  <c r="AB108" i="41" s="1"/>
  <c r="C109" i="41"/>
  <c r="D109" i="41" s="1"/>
  <c r="AA109" i="41" s="1"/>
  <c r="AB109" i="41" s="1"/>
  <c r="C110" i="41"/>
  <c r="D110" i="41" s="1"/>
  <c r="AA110" i="41" s="1"/>
  <c r="AB110" i="41" s="1"/>
  <c r="C113" i="41"/>
  <c r="D113" i="41" s="1"/>
  <c r="AA113" i="41" s="1"/>
  <c r="AB113" i="41" s="1"/>
  <c r="C114" i="41"/>
  <c r="D114" i="41" s="1"/>
  <c r="AA114" i="41" s="1"/>
  <c r="AB114" i="41" s="1"/>
  <c r="C116" i="41"/>
  <c r="D116" i="41" s="1"/>
  <c r="AA116" i="41" s="1"/>
  <c r="AB116" i="41" s="1"/>
  <c r="B106" i="41"/>
  <c r="B107" i="41"/>
  <c r="B108" i="41"/>
  <c r="B109" i="41"/>
  <c r="B110" i="41"/>
  <c r="B111" i="41"/>
  <c r="B112" i="41"/>
  <c r="B113" i="41"/>
  <c r="B114" i="41"/>
  <c r="B116" i="41"/>
  <c r="B105" i="41"/>
  <c r="B104" i="41"/>
  <c r="C94" i="41"/>
  <c r="X94" i="41" s="1"/>
  <c r="AA94" i="41" s="1"/>
  <c r="AB94" i="41" s="1"/>
  <c r="C95" i="41"/>
  <c r="X95" i="41" s="1"/>
  <c r="AA95" i="41" s="1"/>
  <c r="AB95" i="41" s="1"/>
  <c r="C96" i="41"/>
  <c r="X96" i="41" s="1"/>
  <c r="AA96" i="41" s="1"/>
  <c r="AB96" i="41" s="1"/>
  <c r="C97" i="41"/>
  <c r="X97" i="41" s="1"/>
  <c r="AA97" i="41" s="1"/>
  <c r="AB97" i="41" s="1"/>
  <c r="C98" i="41"/>
  <c r="D98" i="41" s="1"/>
  <c r="AA98" i="41" s="1"/>
  <c r="AB98" i="41" s="1"/>
  <c r="C102" i="41"/>
  <c r="X102" i="41" s="1"/>
  <c r="AA102" i="41" s="1"/>
  <c r="C84" i="41"/>
  <c r="D84" i="41" s="1"/>
  <c r="AA84" i="41" s="1"/>
  <c r="AB84" i="41" s="1"/>
  <c r="C85" i="41"/>
  <c r="C86" i="41"/>
  <c r="D86" i="41" s="1"/>
  <c r="AA86" i="41" s="1"/>
  <c r="AB86" i="41" s="1"/>
  <c r="C87" i="41"/>
  <c r="D87" i="41" s="1"/>
  <c r="AA87" i="41" s="1"/>
  <c r="AB87" i="41" s="1"/>
  <c r="C88" i="41"/>
  <c r="D88" i="41" s="1"/>
  <c r="AA88" i="41" s="1"/>
  <c r="AB88" i="41" s="1"/>
  <c r="C89" i="41"/>
  <c r="D89" i="41" s="1"/>
  <c r="AA89" i="41" s="1"/>
  <c r="AB89" i="41" s="1"/>
  <c r="C83" i="41"/>
  <c r="D83" i="41" s="1"/>
  <c r="AA83" i="41" s="1"/>
  <c r="AB83" i="41" s="1"/>
  <c r="B92" i="41"/>
  <c r="B93" i="41"/>
  <c r="B94" i="41"/>
  <c r="B95" i="41"/>
  <c r="B96" i="41"/>
  <c r="B97" i="41"/>
  <c r="B98" i="41"/>
  <c r="B99" i="41"/>
  <c r="B100" i="41"/>
  <c r="B101" i="41"/>
  <c r="B102" i="41"/>
  <c r="B91" i="41"/>
  <c r="B90" i="41"/>
  <c r="B83" i="41"/>
  <c r="B84" i="41"/>
  <c r="B85" i="41"/>
  <c r="B86" i="41"/>
  <c r="B87" i="41"/>
  <c r="B88" i="41"/>
  <c r="B89" i="41"/>
  <c r="B82" i="41"/>
  <c r="B81" i="41"/>
  <c r="B80" i="41"/>
  <c r="C60" i="41"/>
  <c r="D60" i="41" s="1"/>
  <c r="AA60" i="41" s="1"/>
  <c r="AB60" i="41" s="1"/>
  <c r="C61" i="41"/>
  <c r="D61" i="41" s="1"/>
  <c r="AA61" i="41" s="1"/>
  <c r="AB61" i="41" s="1"/>
  <c r="C62" i="41"/>
  <c r="D62" i="41" s="1"/>
  <c r="AA62" i="41" s="1"/>
  <c r="AB62" i="41" s="1"/>
  <c r="C63" i="41"/>
  <c r="D63" i="41" s="1"/>
  <c r="AA63" i="41" s="1"/>
  <c r="AB63" i="41" s="1"/>
  <c r="C64" i="41"/>
  <c r="D64" i="41" s="1"/>
  <c r="AA64" i="41" s="1"/>
  <c r="AB64" i="41" s="1"/>
  <c r="C65" i="41"/>
  <c r="D65" i="41" s="1"/>
  <c r="AA65" i="41" s="1"/>
  <c r="AB65" i="41" s="1"/>
  <c r="C66" i="41"/>
  <c r="D66" i="41" s="1"/>
  <c r="AA66" i="41" s="1"/>
  <c r="AB66" i="41" s="1"/>
  <c r="C67" i="41"/>
  <c r="D67" i="41" s="1"/>
  <c r="AA67" i="41" s="1"/>
  <c r="AB67" i="41" s="1"/>
  <c r="C68" i="41"/>
  <c r="D68" i="41" s="1"/>
  <c r="AA68" i="41" s="1"/>
  <c r="AB68" i="41" s="1"/>
  <c r="C69" i="41"/>
  <c r="AB69" i="41" s="1"/>
  <c r="C71" i="41"/>
  <c r="D71" i="41" s="1"/>
  <c r="AA71" i="41" s="1"/>
  <c r="AB71" i="41" s="1"/>
  <c r="C72" i="41"/>
  <c r="D72" i="41" s="1"/>
  <c r="AA72" i="41" s="1"/>
  <c r="AB72" i="41" s="1"/>
  <c r="C73" i="41"/>
  <c r="D73" i="41" s="1"/>
  <c r="AA73" i="41" s="1"/>
  <c r="AB73" i="41" s="1"/>
  <c r="C74" i="41"/>
  <c r="D74" i="41" s="1"/>
  <c r="AA74" i="41" s="1"/>
  <c r="AB74" i="41" s="1"/>
  <c r="C76" i="41"/>
  <c r="E76" i="41" s="1"/>
  <c r="C77" i="41"/>
  <c r="D77" i="41" s="1"/>
  <c r="AA77" i="41" s="1"/>
  <c r="AB77" i="41" s="1"/>
  <c r="C78" i="41"/>
  <c r="D78" i="41" s="1"/>
  <c r="AA78" i="41" s="1"/>
  <c r="AB78" i="41" s="1"/>
  <c r="B59" i="41"/>
  <c r="B60" i="41"/>
  <c r="B61" i="41"/>
  <c r="B62" i="41"/>
  <c r="B63" i="41"/>
  <c r="B64" i="41"/>
  <c r="B65" i="41"/>
  <c r="B66" i="41"/>
  <c r="B67" i="41"/>
  <c r="B68" i="41"/>
  <c r="B69" i="41"/>
  <c r="B71" i="41"/>
  <c r="B72" i="41"/>
  <c r="B73" i="41"/>
  <c r="B74" i="41"/>
  <c r="B75" i="41"/>
  <c r="B76" i="41"/>
  <c r="B77" i="41"/>
  <c r="B78" i="41"/>
  <c r="B58" i="41"/>
  <c r="B57" i="41"/>
  <c r="C54" i="41"/>
  <c r="J54" i="41" s="1"/>
  <c r="C50" i="41"/>
  <c r="I50" i="41" s="1"/>
  <c r="E8" i="41"/>
  <c r="F8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V8" i="41"/>
  <c r="K124" i="16" l="1"/>
  <c r="E21" i="43"/>
  <c r="AB102" i="41"/>
  <c r="I54" i="41"/>
  <c r="E50" i="41"/>
  <c r="P50" i="41"/>
  <c r="H50" i="41"/>
  <c r="Q54" i="41"/>
  <c r="O50" i="41"/>
  <c r="G50" i="41"/>
  <c r="P54" i="41"/>
  <c r="H54" i="41"/>
  <c r="D76" i="41"/>
  <c r="AA76" i="41" s="1"/>
  <c r="AB76" i="41" s="1"/>
  <c r="V50" i="41"/>
  <c r="N50" i="41"/>
  <c r="F50" i="41"/>
  <c r="O54" i="41"/>
  <c r="G54" i="41"/>
  <c r="U50" i="41"/>
  <c r="M50" i="41"/>
  <c r="V54" i="41"/>
  <c r="N54" i="41"/>
  <c r="F54" i="41"/>
  <c r="E54" i="41"/>
  <c r="T50" i="41"/>
  <c r="L50" i="41"/>
  <c r="U54" i="41"/>
  <c r="M54" i="41"/>
  <c r="S50" i="41"/>
  <c r="K50" i="41"/>
  <c r="T54" i="41"/>
  <c r="L54" i="41"/>
  <c r="R50" i="41"/>
  <c r="J50" i="41"/>
  <c r="S54" i="41"/>
  <c r="K54" i="41"/>
  <c r="Q50" i="41"/>
  <c r="R54" i="41"/>
  <c r="K126" i="16" l="1"/>
  <c r="K125" i="16" s="1"/>
  <c r="K127" i="16" s="1"/>
  <c r="E22" i="43"/>
  <c r="AA54" i="41"/>
  <c r="AB54" i="41" s="1"/>
  <c r="AA50" i="41"/>
  <c r="AB50" i="41" s="1"/>
  <c r="L124" i="16" l="1"/>
  <c r="L126" i="16" s="1"/>
  <c r="L125" i="16" s="1"/>
  <c r="E23" i="43"/>
  <c r="B42" i="41"/>
  <c r="B43" i="41"/>
  <c r="B44" i="41"/>
  <c r="B45" i="41"/>
  <c r="B46" i="41"/>
  <c r="B47" i="41"/>
  <c r="B48" i="41"/>
  <c r="B49" i="41"/>
  <c r="B50" i="41"/>
  <c r="B51" i="41"/>
  <c r="B52" i="41"/>
  <c r="B53" i="41"/>
  <c r="B54" i="41"/>
  <c r="B55" i="41"/>
  <c r="B41" i="41"/>
  <c r="B40" i="41"/>
  <c r="C38" i="41"/>
  <c r="D38" i="41" s="1"/>
  <c r="AA38" i="41" s="1"/>
  <c r="AB38" i="41" s="1"/>
  <c r="B36" i="41"/>
  <c r="B37" i="41"/>
  <c r="B38" i="41"/>
  <c r="B35" i="41"/>
  <c r="L99" i="7"/>
  <c r="L98" i="7"/>
  <c r="M124" i="7"/>
  <c r="L127" i="16" l="1"/>
  <c r="M124" i="16"/>
  <c r="M126" i="16" s="1"/>
  <c r="M125" i="16" s="1"/>
  <c r="M127" i="16" s="1"/>
  <c r="E24" i="43"/>
  <c r="N124" i="7"/>
  <c r="G33" i="6" s="1"/>
  <c r="P91" i="7"/>
  <c r="P76" i="7"/>
  <c r="P26" i="7"/>
  <c r="L26" i="7"/>
  <c r="R8" i="7"/>
  <c r="N8" i="7"/>
  <c r="L88" i="7"/>
  <c r="P109" i="7"/>
  <c r="L108" i="7"/>
  <c r="L87" i="7"/>
  <c r="L84" i="7"/>
  <c r="R82" i="7"/>
  <c r="N82" i="7" s="1"/>
  <c r="R81" i="7"/>
  <c r="N81" i="7" s="1"/>
  <c r="R80" i="7"/>
  <c r="N80" i="7" s="1"/>
  <c r="R45" i="7"/>
  <c r="N45" i="7" s="1"/>
  <c r="L70" i="7"/>
  <c r="L67" i="7"/>
  <c r="L68" i="7"/>
  <c r="L69" i="7"/>
  <c r="L71" i="7"/>
  <c r="L75" i="7"/>
  <c r="N124" i="16" l="1"/>
  <c r="N126" i="16" s="1"/>
  <c r="N125" i="16" s="1"/>
  <c r="N127" i="16" s="1"/>
  <c r="K7" i="6"/>
  <c r="G35" i="6"/>
  <c r="I33" i="6"/>
  <c r="I35" i="6" s="1"/>
  <c r="I39" i="6" s="1"/>
  <c r="E25" i="43"/>
  <c r="R55" i="7"/>
  <c r="N55" i="7" s="1"/>
  <c r="R56" i="7"/>
  <c r="N56" i="7" s="1"/>
  <c r="R57" i="7"/>
  <c r="N57" i="7" s="1"/>
  <c r="R58" i="7"/>
  <c r="N58" i="7" s="1"/>
  <c r="R59" i="7"/>
  <c r="N59" i="7" s="1"/>
  <c r="R60" i="7"/>
  <c r="N60" i="7" s="1"/>
  <c r="R61" i="7"/>
  <c r="N61" i="7" s="1"/>
  <c r="R47" i="7"/>
  <c r="N47" i="7" s="1"/>
  <c r="L107" i="7"/>
  <c r="P100" i="7"/>
  <c r="N100" i="7"/>
  <c r="R24" i="7"/>
  <c r="N24" i="7" s="1"/>
  <c r="R42" i="7"/>
  <c r="N42" i="7" s="1"/>
  <c r="O124" i="16" l="1"/>
  <c r="G39" i="6"/>
  <c r="K35" i="6"/>
  <c r="E26" i="43"/>
  <c r="N76" i="7"/>
  <c r="L7" i="7"/>
  <c r="R48" i="7"/>
  <c r="N48" i="7" s="1"/>
  <c r="R43" i="7"/>
  <c r="N43" i="7" s="1"/>
  <c r="R36" i="7"/>
  <c r="N36" i="7" s="1"/>
  <c r="R35" i="7"/>
  <c r="N35" i="7" s="1"/>
  <c r="R34" i="7"/>
  <c r="N34" i="7" s="1"/>
  <c r="A1" i="7"/>
  <c r="E1" i="40"/>
  <c r="E34" i="41"/>
  <c r="C25" i="41"/>
  <c r="AB25" i="41" s="1"/>
  <c r="C24" i="41"/>
  <c r="AB24" i="41" s="1"/>
  <c r="B25" i="41"/>
  <c r="B24" i="41"/>
  <c r="B22" i="41"/>
  <c r="C22" i="41"/>
  <c r="D22" i="41" s="1"/>
  <c r="C21" i="41"/>
  <c r="B21" i="41"/>
  <c r="B20" i="41"/>
  <c r="B19" i="41"/>
  <c r="B18" i="41"/>
  <c r="O126" i="16" l="1"/>
  <c r="O125" i="16" s="1"/>
  <c r="O127" i="16" s="1"/>
  <c r="C20" i="41"/>
  <c r="E27" i="43"/>
  <c r="C19" i="41"/>
  <c r="B17" i="41"/>
  <c r="A1" i="4"/>
  <c r="P124" i="16" l="1"/>
  <c r="P126" i="16" s="1"/>
  <c r="P125" i="16" s="1"/>
  <c r="P127" i="16" s="1"/>
  <c r="E28" i="43"/>
  <c r="D19" i="41"/>
  <c r="Q124" i="16" l="1"/>
  <c r="Q126" i="16" s="1"/>
  <c r="Q125" i="16" s="1"/>
  <c r="Q127" i="16" s="1"/>
  <c r="R124" i="16"/>
  <c r="R126" i="16" s="1"/>
  <c r="R125" i="16" s="1"/>
  <c r="R127" i="16" s="1"/>
  <c r="E29" i="43"/>
  <c r="B1" i="41"/>
  <c r="F9" i="41"/>
  <c r="D6" i="41"/>
  <c r="AE34" i="41" l="1"/>
  <c r="AE35" i="41" s="1"/>
  <c r="AE36" i="41" s="1"/>
  <c r="AE37" i="41" s="1"/>
  <c r="AE38" i="41" s="1"/>
  <c r="AE39" i="41" s="1"/>
  <c r="AE40" i="41" s="1"/>
  <c r="AE41" i="41" s="1"/>
  <c r="AE42" i="41" s="1"/>
  <c r="AE43" i="41" s="1"/>
  <c r="AE44" i="41" s="1"/>
  <c r="AE45" i="41" s="1"/>
  <c r="AE46" i="41" s="1"/>
  <c r="AE47" i="41" s="1"/>
  <c r="AE48" i="41" s="1"/>
  <c r="AE49" i="41" s="1"/>
  <c r="AE50" i="41" s="1"/>
  <c r="AE51" i="41" s="1"/>
  <c r="AE52" i="41" s="1"/>
  <c r="AE53" i="41" s="1"/>
  <c r="AE54" i="41" s="1"/>
  <c r="AE55" i="41" s="1"/>
  <c r="AE56" i="41" s="1"/>
  <c r="AE57" i="41" s="1"/>
  <c r="S124" i="16"/>
  <c r="S126" i="16" s="1"/>
  <c r="S125" i="16" s="1"/>
  <c r="S127" i="16" s="1"/>
  <c r="E30" i="43"/>
  <c r="G9" i="41"/>
  <c r="F34" i="41"/>
  <c r="E31" i="43" l="1"/>
  <c r="H9" i="41"/>
  <c r="G34" i="41"/>
  <c r="E32" i="43" l="1"/>
  <c r="I9" i="41"/>
  <c r="H34" i="41"/>
  <c r="H8" i="40"/>
  <c r="E6" i="41"/>
  <c r="AB145" i="41"/>
  <c r="AA22" i="41"/>
  <c r="AB22" i="41" s="1"/>
  <c r="AA21" i="41"/>
  <c r="AB21" i="41" s="1"/>
  <c r="AA19" i="41"/>
  <c r="AB19" i="41" s="1"/>
  <c r="AA18" i="41"/>
  <c r="AB14" i="41"/>
  <c r="Z54" i="7" l="1"/>
  <c r="H82" i="41"/>
  <c r="O82" i="41"/>
  <c r="L82" i="41"/>
  <c r="M82" i="41"/>
  <c r="I82" i="41"/>
  <c r="E82" i="41"/>
  <c r="AA82" i="41" s="1"/>
  <c r="AB82" i="41" s="1"/>
  <c r="K82" i="41"/>
  <c r="N82" i="41"/>
  <c r="F82" i="41"/>
  <c r="G82" i="41"/>
  <c r="J82" i="41"/>
  <c r="H85" i="41"/>
  <c r="N85" i="41"/>
  <c r="E85" i="41"/>
  <c r="G85" i="41"/>
  <c r="F85" i="41"/>
  <c r="J85" i="41"/>
  <c r="O85" i="41"/>
  <c r="M85" i="41"/>
  <c r="K85" i="41"/>
  <c r="I85" i="41"/>
  <c r="L85" i="41"/>
  <c r="E33" i="43"/>
  <c r="F6" i="41"/>
  <c r="E158" i="41"/>
  <c r="J9" i="41"/>
  <c r="I34" i="41"/>
  <c r="AA20" i="41"/>
  <c r="AB20" i="41" s="1"/>
  <c r="AA85" i="41" l="1"/>
  <c r="AB85" i="41" s="1"/>
  <c r="E34" i="43"/>
  <c r="G6" i="41"/>
  <c r="K9" i="41"/>
  <c r="J34" i="41"/>
  <c r="E35" i="43" l="1"/>
  <c r="H6" i="41"/>
  <c r="L9" i="41"/>
  <c r="K34" i="41"/>
  <c r="E36" i="43" l="1"/>
  <c r="I6" i="41"/>
  <c r="M9" i="41"/>
  <c r="L34" i="41"/>
  <c r="E37" i="43" l="1"/>
  <c r="J6" i="41"/>
  <c r="N9" i="41"/>
  <c r="M34" i="41"/>
  <c r="E38" i="43" l="1"/>
  <c r="K6" i="41"/>
  <c r="O9" i="41"/>
  <c r="N34" i="41"/>
  <c r="D59" i="6"/>
  <c r="D60" i="6"/>
  <c r="D61" i="6"/>
  <c r="D62" i="6"/>
  <c r="D63" i="6"/>
  <c r="D64" i="6"/>
  <c r="D65" i="6"/>
  <c r="D66" i="6"/>
  <c r="D67" i="6"/>
  <c r="D68" i="6"/>
  <c r="D69" i="6"/>
  <c r="D58" i="6"/>
  <c r="E39" i="43" l="1"/>
  <c r="L6" i="41"/>
  <c r="P9" i="41"/>
  <c r="P157" i="41" s="1"/>
  <c r="O34" i="41"/>
  <c r="A46" i="6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1" i="6"/>
  <c r="E40" i="43" l="1"/>
  <c r="M6" i="41"/>
  <c r="Q9" i="41"/>
  <c r="Q157" i="41" s="1"/>
  <c r="P34" i="41"/>
  <c r="P6" i="41"/>
  <c r="I5" i="7"/>
  <c r="AQ11" i="40"/>
  <c r="AQ12" i="40" s="1"/>
  <c r="AQ13" i="40" s="1"/>
  <c r="AQ14" i="40" s="1"/>
  <c r="AQ15" i="40" s="1"/>
  <c r="AO39" i="40"/>
  <c r="I46" i="6" s="1"/>
  <c r="AL11" i="40"/>
  <c r="AK11" i="40" s="1"/>
  <c r="AK18" i="40" s="1"/>
  <c r="N93" i="40"/>
  <c r="Z91" i="40"/>
  <c r="W91" i="40"/>
  <c r="U91" i="40"/>
  <c r="T91" i="40"/>
  <c r="S91" i="40"/>
  <c r="R91" i="40"/>
  <c r="N91" i="40"/>
  <c r="L91" i="40"/>
  <c r="G91" i="40"/>
  <c r="J89" i="40"/>
  <c r="J88" i="40"/>
  <c r="J87" i="40"/>
  <c r="J86" i="40"/>
  <c r="J85" i="40"/>
  <c r="J84" i="40"/>
  <c r="J83" i="40"/>
  <c r="J82" i="40"/>
  <c r="J81" i="40"/>
  <c r="J80" i="40"/>
  <c r="J79" i="40"/>
  <c r="J78" i="40"/>
  <c r="N72" i="40"/>
  <c r="Z70" i="40"/>
  <c r="W70" i="40"/>
  <c r="U70" i="40"/>
  <c r="T70" i="40"/>
  <c r="S70" i="40"/>
  <c r="R70" i="40"/>
  <c r="N70" i="40"/>
  <c r="L70" i="40"/>
  <c r="G70" i="40"/>
  <c r="J68" i="40"/>
  <c r="J67" i="40"/>
  <c r="J66" i="40"/>
  <c r="J65" i="40"/>
  <c r="J64" i="40"/>
  <c r="J63" i="40"/>
  <c r="J62" i="40"/>
  <c r="J61" i="40"/>
  <c r="J60" i="40"/>
  <c r="J59" i="40"/>
  <c r="J58" i="40"/>
  <c r="J57" i="40"/>
  <c r="N51" i="40"/>
  <c r="Z49" i="40"/>
  <c r="W49" i="40"/>
  <c r="U49" i="40"/>
  <c r="T49" i="40"/>
  <c r="S49" i="40"/>
  <c r="R49" i="40"/>
  <c r="N49" i="40"/>
  <c r="L49" i="40"/>
  <c r="G49" i="40"/>
  <c r="J47" i="40"/>
  <c r="J46" i="40"/>
  <c r="J45" i="40"/>
  <c r="J44" i="40"/>
  <c r="J43" i="40"/>
  <c r="J42" i="40"/>
  <c r="J41" i="40"/>
  <c r="J40" i="40"/>
  <c r="J39" i="40"/>
  <c r="J38" i="40"/>
  <c r="J37" i="40"/>
  <c r="J36" i="40"/>
  <c r="Z28" i="40"/>
  <c r="W28" i="40"/>
  <c r="U28" i="40"/>
  <c r="T28" i="40"/>
  <c r="S28" i="40"/>
  <c r="R28" i="40"/>
  <c r="N28" i="40"/>
  <c r="L28" i="40"/>
  <c r="J26" i="40"/>
  <c r="J25" i="40"/>
  <c r="J24" i="40"/>
  <c r="J23" i="40"/>
  <c r="J22" i="40"/>
  <c r="J21" i="40"/>
  <c r="J20" i="40"/>
  <c r="J19" i="40"/>
  <c r="J18" i="40"/>
  <c r="J17" i="40"/>
  <c r="J16" i="40"/>
  <c r="O15" i="40"/>
  <c r="C46" i="6" s="1"/>
  <c r="M15" i="40"/>
  <c r="M16" i="40" s="1"/>
  <c r="M17" i="40" s="1"/>
  <c r="M18" i="40" s="1"/>
  <c r="M19" i="40" s="1"/>
  <c r="M20" i="40" s="1"/>
  <c r="M21" i="40" s="1"/>
  <c r="M22" i="40" s="1"/>
  <c r="M23" i="40" s="1"/>
  <c r="M24" i="40" s="1"/>
  <c r="M25" i="40" s="1"/>
  <c r="M26" i="40" s="1"/>
  <c r="M36" i="40" s="1"/>
  <c r="M37" i="40" s="1"/>
  <c r="M38" i="40" s="1"/>
  <c r="M39" i="40" s="1"/>
  <c r="M40" i="40" s="1"/>
  <c r="M41" i="40" s="1"/>
  <c r="M42" i="40" s="1"/>
  <c r="M43" i="40" s="1"/>
  <c r="M44" i="40" s="1"/>
  <c r="M45" i="40" s="1"/>
  <c r="M46" i="40" s="1"/>
  <c r="M47" i="40" s="1"/>
  <c r="M57" i="40" s="1"/>
  <c r="M58" i="40" s="1"/>
  <c r="M59" i="40" s="1"/>
  <c r="M60" i="40" s="1"/>
  <c r="M61" i="40" s="1"/>
  <c r="M62" i="40" s="1"/>
  <c r="M63" i="40" s="1"/>
  <c r="M64" i="40" s="1"/>
  <c r="M65" i="40" s="1"/>
  <c r="M66" i="40" s="1"/>
  <c r="M67" i="40" s="1"/>
  <c r="M68" i="40" s="1"/>
  <c r="M78" i="40" s="1"/>
  <c r="M79" i="40" s="1"/>
  <c r="M80" i="40" s="1"/>
  <c r="M81" i="40" s="1"/>
  <c r="M82" i="40" s="1"/>
  <c r="M83" i="40" s="1"/>
  <c r="M84" i="40" s="1"/>
  <c r="M85" i="40" s="1"/>
  <c r="M86" i="40" s="1"/>
  <c r="M87" i="40" s="1"/>
  <c r="M88" i="40" s="1"/>
  <c r="M89" i="40" s="1"/>
  <c r="J15" i="40"/>
  <c r="K15" i="40" s="1"/>
  <c r="H15" i="40"/>
  <c r="AB15" i="40" s="1"/>
  <c r="G28" i="40"/>
  <c r="E15" i="40"/>
  <c r="D168" i="41" s="1"/>
  <c r="C130" i="41" l="1"/>
  <c r="D130" i="41" s="1"/>
  <c r="AA130" i="41" s="1"/>
  <c r="AB130" i="41" s="1"/>
  <c r="E41" i="43"/>
  <c r="C36" i="41"/>
  <c r="D36" i="41" s="1"/>
  <c r="AA36" i="41" s="1"/>
  <c r="AB36" i="41" s="1"/>
  <c r="N6" i="41"/>
  <c r="R9" i="41"/>
  <c r="R157" i="41" s="1"/>
  <c r="Q34" i="41"/>
  <c r="Q6" i="41"/>
  <c r="AL12" i="40"/>
  <c r="AL13" i="40" s="1"/>
  <c r="AL14" i="40" s="1"/>
  <c r="AO40" i="40"/>
  <c r="AO41" i="40" s="1"/>
  <c r="K16" i="40"/>
  <c r="K17" i="40" s="1"/>
  <c r="K18" i="40" s="1"/>
  <c r="J49" i="40"/>
  <c r="J70" i="40"/>
  <c r="J91" i="40"/>
  <c r="AG15" i="40"/>
  <c r="AC15" i="40"/>
  <c r="AD15" i="40" s="1"/>
  <c r="E16" i="40"/>
  <c r="E168" i="41" s="1"/>
  <c r="O16" i="40"/>
  <c r="C47" i="6" s="1"/>
  <c r="J28" i="40"/>
  <c r="H16" i="40"/>
  <c r="E42" i="43" l="1"/>
  <c r="O6" i="41"/>
  <c r="S9" i="41"/>
  <c r="S157" i="41" s="1"/>
  <c r="R34" i="41"/>
  <c r="R6" i="41"/>
  <c r="AK12" i="40"/>
  <c r="AK19" i="40" s="1"/>
  <c r="I47" i="6"/>
  <c r="AO42" i="40"/>
  <c r="I48" i="6"/>
  <c r="AK13" i="40"/>
  <c r="AK20" i="40" s="1"/>
  <c r="Y16" i="40"/>
  <c r="Y15" i="40"/>
  <c r="AL15" i="40"/>
  <c r="AK15" i="40" s="1"/>
  <c r="AK22" i="40" s="1"/>
  <c r="AK23" i="40" s="1"/>
  <c r="AK24" i="40" s="1"/>
  <c r="AK25" i="40" s="1"/>
  <c r="AK26" i="40" s="1"/>
  <c r="AK27" i="40" s="1"/>
  <c r="AK28" i="40" s="1"/>
  <c r="AK29" i="40" s="1"/>
  <c r="AK30" i="40" s="1"/>
  <c r="AK31" i="40" s="1"/>
  <c r="AK32" i="40" s="1"/>
  <c r="AK33" i="40" s="1"/>
  <c r="AK34" i="40" s="1"/>
  <c r="AK35" i="40" s="1"/>
  <c r="AK14" i="40"/>
  <c r="Y18" i="40"/>
  <c r="K19" i="40"/>
  <c r="Y17" i="40"/>
  <c r="E17" i="40"/>
  <c r="F168" i="41" s="1"/>
  <c r="AG16" i="40"/>
  <c r="AC16" i="40"/>
  <c r="AD16" i="40" s="1"/>
  <c r="H17" i="40"/>
  <c r="AB16" i="40"/>
  <c r="O17" i="40"/>
  <c r="C48" i="6" s="1"/>
  <c r="E43" i="43" l="1"/>
  <c r="J42" i="43"/>
  <c r="F42" i="43"/>
  <c r="H42" i="43"/>
  <c r="I42" i="43"/>
  <c r="G42" i="43"/>
  <c r="T9" i="41"/>
  <c r="T157" i="41" s="1"/>
  <c r="S34" i="41"/>
  <c r="S6" i="41"/>
  <c r="AO43" i="40"/>
  <c r="I49" i="6"/>
  <c r="Y13" i="40"/>
  <c r="Y19" i="40" s="1"/>
  <c r="AK21" i="40"/>
  <c r="AB17" i="40"/>
  <c r="H18" i="40"/>
  <c r="AC17" i="40"/>
  <c r="AD17" i="40" s="1"/>
  <c r="AG17" i="40"/>
  <c r="E18" i="40"/>
  <c r="G168" i="41" s="1"/>
  <c r="O18" i="40"/>
  <c r="C49" i="6" s="1"/>
  <c r="K20" i="40"/>
  <c r="G43" i="43" l="1"/>
  <c r="F43" i="43"/>
  <c r="E44" i="43"/>
  <c r="I43" i="43"/>
  <c r="H43" i="43"/>
  <c r="J43" i="43"/>
  <c r="T34" i="41"/>
  <c r="U9" i="41"/>
  <c r="U157" i="41" s="1"/>
  <c r="T6" i="41"/>
  <c r="AO44" i="40"/>
  <c r="I50" i="6"/>
  <c r="Y20" i="40"/>
  <c r="K21" i="40"/>
  <c r="O19" i="40"/>
  <c r="C50" i="6" s="1"/>
  <c r="AC18" i="40"/>
  <c r="AD18" i="40" s="1"/>
  <c r="E19" i="40"/>
  <c r="H168" i="41" s="1"/>
  <c r="AG18" i="40"/>
  <c r="H19" i="40"/>
  <c r="AB18" i="40"/>
  <c r="E45" i="43" l="1"/>
  <c r="H44" i="43"/>
  <c r="I44" i="43"/>
  <c r="J44" i="43"/>
  <c r="F44" i="43"/>
  <c r="G44" i="43"/>
  <c r="U6" i="41"/>
  <c r="U34" i="41"/>
  <c r="V9" i="41"/>
  <c r="V157" i="41" s="1"/>
  <c r="AO45" i="40"/>
  <c r="I51" i="6"/>
  <c r="H20" i="40"/>
  <c r="AB19" i="40"/>
  <c r="Y21" i="40"/>
  <c r="K22" i="40"/>
  <c r="AG19" i="40"/>
  <c r="AC19" i="40"/>
  <c r="AD19" i="40" s="1"/>
  <c r="E20" i="40"/>
  <c r="I168" i="41" s="1"/>
  <c r="O20" i="40"/>
  <c r="C51" i="6" s="1"/>
  <c r="F45" i="43" l="1"/>
  <c r="G45" i="43"/>
  <c r="H45" i="43"/>
  <c r="I45" i="43"/>
  <c r="J45" i="43"/>
  <c r="E46" i="43"/>
  <c r="V6" i="41"/>
  <c r="V34" i="41"/>
  <c r="AO46" i="40"/>
  <c r="I52" i="6"/>
  <c r="AB20" i="40"/>
  <c r="H21" i="40"/>
  <c r="AG20" i="40"/>
  <c r="AC20" i="40"/>
  <c r="AD20" i="40" s="1"/>
  <c r="E21" i="40"/>
  <c r="J168" i="41" s="1"/>
  <c r="O21" i="40"/>
  <c r="C52" i="6" s="1"/>
  <c r="Y22" i="40"/>
  <c r="K23" i="40"/>
  <c r="H46" i="43" l="1"/>
  <c r="E47" i="43"/>
  <c r="F46" i="43"/>
  <c r="I46" i="43"/>
  <c r="J46" i="43"/>
  <c r="G46" i="43"/>
  <c r="AO47" i="40"/>
  <c r="I53" i="6"/>
  <c r="AC21" i="40"/>
  <c r="AD21" i="40" s="1"/>
  <c r="E22" i="40"/>
  <c r="K168" i="41" s="1"/>
  <c r="AG21" i="40"/>
  <c r="H22" i="40"/>
  <c r="AB21" i="40"/>
  <c r="Y23" i="40"/>
  <c r="K24" i="40"/>
  <c r="O22" i="40"/>
  <c r="C53" i="6" s="1"/>
  <c r="I47" i="43" l="1"/>
  <c r="F47" i="43"/>
  <c r="J47" i="43"/>
  <c r="E48" i="43"/>
  <c r="H47" i="43"/>
  <c r="G47" i="43"/>
  <c r="AO48" i="40"/>
  <c r="I54" i="6"/>
  <c r="H23" i="40"/>
  <c r="AB22" i="40"/>
  <c r="K25" i="40"/>
  <c r="Y24" i="40"/>
  <c r="AG22" i="40"/>
  <c r="AC22" i="40"/>
  <c r="AD22" i="40" s="1"/>
  <c r="E23" i="40"/>
  <c r="L168" i="41" s="1"/>
  <c r="O23" i="40"/>
  <c r="C54" i="6" s="1"/>
  <c r="J48" i="43" l="1"/>
  <c r="E49" i="43"/>
  <c r="F48" i="43"/>
  <c r="I48" i="43"/>
  <c r="G48" i="43"/>
  <c r="H48" i="43"/>
  <c r="AO49" i="40"/>
  <c r="I55" i="6"/>
  <c r="Y25" i="40"/>
  <c r="K26" i="40"/>
  <c r="O24" i="40"/>
  <c r="C55" i="6" s="1"/>
  <c r="AB23" i="40"/>
  <c r="H24" i="40"/>
  <c r="E24" i="40"/>
  <c r="M168" i="41" s="1"/>
  <c r="AG23" i="40"/>
  <c r="AC23" i="40"/>
  <c r="AD23" i="40" s="1"/>
  <c r="D158" i="41" l="1"/>
  <c r="W158" i="41"/>
  <c r="F49" i="43"/>
  <c r="G49" i="43"/>
  <c r="H49" i="43"/>
  <c r="E50" i="43"/>
  <c r="I49" i="43"/>
  <c r="J49" i="43"/>
  <c r="AO50" i="40"/>
  <c r="I57" i="6" s="1"/>
  <c r="I56" i="6"/>
  <c r="O25" i="40"/>
  <c r="C56" i="6" s="1"/>
  <c r="K36" i="40"/>
  <c r="Y26" i="40"/>
  <c r="Y28" i="40" s="1"/>
  <c r="AC24" i="40"/>
  <c r="AD24" i="40" s="1"/>
  <c r="E25" i="40"/>
  <c r="N168" i="41" s="1"/>
  <c r="AG24" i="40"/>
  <c r="H25" i="40"/>
  <c r="AB24" i="40"/>
  <c r="H50" i="43" l="1"/>
  <c r="I50" i="43"/>
  <c r="E51" i="43"/>
  <c r="G50" i="43"/>
  <c r="J50" i="43"/>
  <c r="F50" i="43"/>
  <c r="O26" i="40"/>
  <c r="C57" i="6" s="1"/>
  <c r="K37" i="40"/>
  <c r="H26" i="40"/>
  <c r="AB25" i="40"/>
  <c r="AG25" i="40"/>
  <c r="AC25" i="40"/>
  <c r="AD25" i="40" s="1"/>
  <c r="E26" i="40"/>
  <c r="O168" i="41" s="1"/>
  <c r="H51" i="43" l="1"/>
  <c r="J51" i="43"/>
  <c r="I51" i="43"/>
  <c r="F51" i="43"/>
  <c r="G51" i="43"/>
  <c r="AC26" i="40"/>
  <c r="AD26" i="40" s="1"/>
  <c r="AG26" i="40"/>
  <c r="E36" i="40"/>
  <c r="P168" i="41" s="1"/>
  <c r="K38" i="40"/>
  <c r="AB26" i="40"/>
  <c r="AB28" i="40" s="1"/>
  <c r="AB29" i="40" s="1"/>
  <c r="H36" i="40"/>
  <c r="O36" i="40"/>
  <c r="C58" i="6" s="1"/>
  <c r="AB36" i="40" l="1"/>
  <c r="H37" i="40"/>
  <c r="K39" i="40"/>
  <c r="O37" i="40"/>
  <c r="C59" i="6" s="1"/>
  <c r="E37" i="40"/>
  <c r="Q168" i="41" s="1"/>
  <c r="AG36" i="40"/>
  <c r="Y34" i="40"/>
  <c r="AC36" i="40"/>
  <c r="AD36" i="40" s="1"/>
  <c r="AE24" i="40"/>
  <c r="AE19" i="40"/>
  <c r="AE17" i="40"/>
  <c r="AE22" i="40"/>
  <c r="AE25" i="40"/>
  <c r="AE20" i="40"/>
  <c r="AE16" i="40"/>
  <c r="AE23" i="40"/>
  <c r="AE15" i="40"/>
  <c r="AE26" i="40"/>
  <c r="AE18" i="40"/>
  <c r="AE21" i="40"/>
  <c r="O38" i="40" l="1"/>
  <c r="C60" i="6" s="1"/>
  <c r="Y36" i="40"/>
  <c r="Y37" i="40"/>
  <c r="Y38" i="40"/>
  <c r="K40" i="40"/>
  <c r="Y39" i="40"/>
  <c r="AG37" i="40"/>
  <c r="E38" i="40"/>
  <c r="R168" i="41" s="1"/>
  <c r="AC37" i="40"/>
  <c r="AD37" i="40" s="1"/>
  <c r="AC28" i="40"/>
  <c r="E28" i="40" s="1"/>
  <c r="AB37" i="40"/>
  <c r="H38" i="40"/>
  <c r="K41" i="40" l="1"/>
  <c r="Y40" i="40"/>
  <c r="AB38" i="40"/>
  <c r="H39" i="40"/>
  <c r="O39" i="40"/>
  <c r="C61" i="6" s="1"/>
  <c r="AC38" i="40"/>
  <c r="AD38" i="40" s="1"/>
  <c r="E39" i="40"/>
  <c r="S168" i="41" s="1"/>
  <c r="AG38" i="40"/>
  <c r="AC39" i="40" l="1"/>
  <c r="AD39" i="40" s="1"/>
  <c r="AG39" i="40"/>
  <c r="E40" i="40"/>
  <c r="T168" i="41" s="1"/>
  <c r="K42" i="40"/>
  <c r="Y41" i="40"/>
  <c r="O40" i="40"/>
  <c r="C62" i="6" s="1"/>
  <c r="H40" i="40"/>
  <c r="AB39" i="40"/>
  <c r="AB40" i="40" l="1"/>
  <c r="H41" i="40"/>
  <c r="AG40" i="40"/>
  <c r="AC40" i="40"/>
  <c r="AD40" i="40" s="1"/>
  <c r="E41" i="40"/>
  <c r="U168" i="41" s="1"/>
  <c r="O41" i="40"/>
  <c r="C63" i="6" s="1"/>
  <c r="Y42" i="40"/>
  <c r="K43" i="40"/>
  <c r="AG41" i="40" l="1"/>
  <c r="E42" i="40"/>
  <c r="V168" i="41" s="1"/>
  <c r="AC41" i="40"/>
  <c r="AD41" i="40" s="1"/>
  <c r="K44" i="40"/>
  <c r="Y43" i="40"/>
  <c r="AB41" i="40"/>
  <c r="H42" i="40"/>
  <c r="O42" i="40"/>
  <c r="C64" i="6" s="1"/>
  <c r="L158" i="41" l="1"/>
  <c r="V158" i="41"/>
  <c r="S158" i="41"/>
  <c r="U158" i="41"/>
  <c r="R158" i="41"/>
  <c r="P158" i="41"/>
  <c r="O158" i="41"/>
  <c r="Q158" i="41"/>
  <c r="T158" i="41"/>
  <c r="I158" i="41"/>
  <c r="G158" i="41"/>
  <c r="J158" i="41"/>
  <c r="N158" i="41"/>
  <c r="K158" i="41"/>
  <c r="M158" i="41"/>
  <c r="H158" i="41"/>
  <c r="F158" i="41"/>
  <c r="O43" i="40"/>
  <c r="C65" i="6" s="1"/>
  <c r="Y44" i="40"/>
  <c r="K45" i="40"/>
  <c r="E43" i="40"/>
  <c r="AC42" i="40"/>
  <c r="AD42" i="40" s="1"/>
  <c r="AG42" i="40"/>
  <c r="AB42" i="40"/>
  <c r="H43" i="40"/>
  <c r="Y45" i="40" l="1"/>
  <c r="K46" i="40"/>
  <c r="H44" i="40"/>
  <c r="AB43" i="40"/>
  <c r="O44" i="40"/>
  <c r="C66" i="6" s="1"/>
  <c r="E44" i="40"/>
  <c r="AC43" i="40"/>
  <c r="AD43" i="40" s="1"/>
  <c r="AG43" i="40"/>
  <c r="H45" i="40" l="1"/>
  <c r="AB44" i="40"/>
  <c r="AG44" i="40"/>
  <c r="E45" i="40"/>
  <c r="AC44" i="40"/>
  <c r="AD44" i="40" s="1"/>
  <c r="O45" i="40"/>
  <c r="C67" i="6" s="1"/>
  <c r="Y46" i="40"/>
  <c r="K47" i="40"/>
  <c r="AG45" i="40" l="1"/>
  <c r="E46" i="40"/>
  <c r="AC45" i="40"/>
  <c r="AD45" i="40" s="1"/>
  <c r="K57" i="40"/>
  <c r="Y47" i="40"/>
  <c r="Y49" i="40" s="1"/>
  <c r="O46" i="40"/>
  <c r="C68" i="6" s="1"/>
  <c r="AB45" i="40"/>
  <c r="H46" i="40"/>
  <c r="O47" i="40" l="1"/>
  <c r="C69" i="6" s="1"/>
  <c r="AB46" i="40"/>
  <c r="H47" i="40"/>
  <c r="K58" i="40"/>
  <c r="E47" i="40"/>
  <c r="AC46" i="40"/>
  <c r="AD46" i="40" s="1"/>
  <c r="AG46" i="40"/>
  <c r="AB47" i="40" l="1"/>
  <c r="AB49" i="40" s="1"/>
  <c r="AB50" i="40" s="1"/>
  <c r="H57" i="40"/>
  <c r="AC47" i="40"/>
  <c r="AD47" i="40" s="1"/>
  <c r="AG47" i="40"/>
  <c r="E57" i="40"/>
  <c r="K59" i="40"/>
  <c r="O57" i="40"/>
  <c r="C70" i="6" s="1"/>
  <c r="AC57" i="40" l="1"/>
  <c r="AD57" i="40" s="1"/>
  <c r="Y55" i="40"/>
  <c r="Y59" i="40" s="1"/>
  <c r="E58" i="40"/>
  <c r="AG57" i="40"/>
  <c r="O58" i="40"/>
  <c r="C71" i="6" s="1"/>
  <c r="K60" i="40"/>
  <c r="AB57" i="40"/>
  <c r="H58" i="40"/>
  <c r="AE44" i="40"/>
  <c r="AE46" i="40"/>
  <c r="AE42" i="40"/>
  <c r="AE47" i="40"/>
  <c r="AE43" i="40"/>
  <c r="AE38" i="40"/>
  <c r="AE37" i="40"/>
  <c r="AE45" i="40"/>
  <c r="AE40" i="40"/>
  <c r="AE41" i="40"/>
  <c r="AE39" i="40"/>
  <c r="AE36" i="40"/>
  <c r="Y60" i="40" l="1"/>
  <c r="K61" i="40"/>
  <c r="AC49" i="40"/>
  <c r="E59" i="40"/>
  <c r="AG58" i="40"/>
  <c r="AC58" i="40"/>
  <c r="AD58" i="40" s="1"/>
  <c r="AE58" i="40" s="1"/>
  <c r="O59" i="40"/>
  <c r="C72" i="6" s="1"/>
  <c r="AB58" i="40"/>
  <c r="H59" i="40"/>
  <c r="Y57" i="40"/>
  <c r="Y58" i="40"/>
  <c r="AC59" i="40" l="1"/>
  <c r="AD59" i="40" s="1"/>
  <c r="AE59" i="40" s="1"/>
  <c r="E60" i="40"/>
  <c r="AG59" i="40"/>
  <c r="Y61" i="40"/>
  <c r="K62" i="40"/>
  <c r="H60" i="40"/>
  <c r="AB59" i="40"/>
  <c r="O60" i="40"/>
  <c r="C73" i="6" s="1"/>
  <c r="O61" i="40" l="1"/>
  <c r="C74" i="6" s="1"/>
  <c r="AB60" i="40"/>
  <c r="H61" i="40"/>
  <c r="E61" i="40"/>
  <c r="AC60" i="40"/>
  <c r="AD60" i="40" s="1"/>
  <c r="AE60" i="40" s="1"/>
  <c r="AG60" i="40"/>
  <c r="K63" i="40"/>
  <c r="Y62" i="40"/>
  <c r="O62" i="40" l="1"/>
  <c r="Y63" i="40"/>
  <c r="K64" i="40"/>
  <c r="AG61" i="40"/>
  <c r="E62" i="40"/>
  <c r="AC61" i="40"/>
  <c r="AD61" i="40" s="1"/>
  <c r="AE61" i="40" s="1"/>
  <c r="AB61" i="40"/>
  <c r="H62" i="40"/>
  <c r="AB62" i="40" l="1"/>
  <c r="H63" i="40"/>
  <c r="AC62" i="40"/>
  <c r="AD62" i="40" s="1"/>
  <c r="AE62" i="40" s="1"/>
  <c r="AG62" i="40"/>
  <c r="E63" i="40"/>
  <c r="O63" i="40"/>
  <c r="K65" i="40"/>
  <c r="Y64" i="40"/>
  <c r="E64" i="40" l="1"/>
  <c r="AG63" i="40"/>
  <c r="AC63" i="40"/>
  <c r="AD63" i="40" s="1"/>
  <c r="AE63" i="40" s="1"/>
  <c r="K66" i="40"/>
  <c r="Y65" i="40"/>
  <c r="H64" i="40"/>
  <c r="AB63" i="40"/>
  <c r="O64" i="40"/>
  <c r="H65" i="40" l="1"/>
  <c r="AB64" i="40"/>
  <c r="O65" i="40"/>
  <c r="Y66" i="40"/>
  <c r="K67" i="40"/>
  <c r="E65" i="40"/>
  <c r="AG64" i="40"/>
  <c r="AC64" i="40"/>
  <c r="AD64" i="40" s="1"/>
  <c r="AE64" i="40" s="1"/>
  <c r="O66" i="40" l="1"/>
  <c r="AC65" i="40"/>
  <c r="AD65" i="40" s="1"/>
  <c r="AE65" i="40" s="1"/>
  <c r="E66" i="40"/>
  <c r="AG65" i="40"/>
  <c r="K68" i="40"/>
  <c r="Y67" i="40"/>
  <c r="AB65" i="40"/>
  <c r="H66" i="40"/>
  <c r="Y68" i="40" l="1"/>
  <c r="Y70" i="40" s="1"/>
  <c r="K78" i="40"/>
  <c r="E67" i="40"/>
  <c r="AG66" i="40"/>
  <c r="AC66" i="40"/>
  <c r="AD66" i="40" s="1"/>
  <c r="AE66" i="40" s="1"/>
  <c r="AB66" i="40"/>
  <c r="H67" i="40"/>
  <c r="O67" i="40"/>
  <c r="AC67" i="40" l="1"/>
  <c r="AD67" i="40" s="1"/>
  <c r="AE67" i="40" s="1"/>
  <c r="E68" i="40"/>
  <c r="AG67" i="40"/>
  <c r="O68" i="40"/>
  <c r="K79" i="40"/>
  <c r="H68" i="40"/>
  <c r="AB67" i="40"/>
  <c r="K80" i="40" l="1"/>
  <c r="O78" i="40"/>
  <c r="AB68" i="40"/>
  <c r="AB70" i="40" s="1"/>
  <c r="AB71" i="40" s="1"/>
  <c r="H78" i="40"/>
  <c r="E78" i="40"/>
  <c r="AC68" i="40"/>
  <c r="AD68" i="40" s="1"/>
  <c r="AE68" i="40" s="1"/>
  <c r="AG68" i="40"/>
  <c r="AQ18" i="40" l="1"/>
  <c r="AQ19" i="40"/>
  <c r="AQ20" i="40"/>
  <c r="AE57" i="40"/>
  <c r="AC70" i="40" s="1"/>
  <c r="O79" i="40"/>
  <c r="AC78" i="40"/>
  <c r="AD78" i="40" s="1"/>
  <c r="AE78" i="40" s="1"/>
  <c r="Y76" i="40"/>
  <c r="E79" i="40"/>
  <c r="AG78" i="40"/>
  <c r="K81" i="40"/>
  <c r="AB78" i="40"/>
  <c r="H79" i="40"/>
  <c r="Y78" i="40" l="1"/>
  <c r="Y79" i="40"/>
  <c r="AB79" i="40"/>
  <c r="H80" i="40"/>
  <c r="O80" i="40"/>
  <c r="K82" i="40"/>
  <c r="Y81" i="40"/>
  <c r="Y80" i="40"/>
  <c r="E80" i="40"/>
  <c r="AC79" i="40"/>
  <c r="AD79" i="40" s="1"/>
  <c r="AE79" i="40" s="1"/>
  <c r="AG79" i="40"/>
  <c r="O81" i="40" l="1"/>
  <c r="AG80" i="40"/>
  <c r="E81" i="40"/>
  <c r="AC80" i="40"/>
  <c r="AD80" i="40" s="1"/>
  <c r="AE80" i="40" s="1"/>
  <c r="Y82" i="40"/>
  <c r="K83" i="40"/>
  <c r="AB80" i="40"/>
  <c r="H81" i="40"/>
  <c r="K84" i="40" l="1"/>
  <c r="Y83" i="40"/>
  <c r="O82" i="40"/>
  <c r="AB81" i="40"/>
  <c r="H82" i="40"/>
  <c r="AC81" i="40"/>
  <c r="AD81" i="40" s="1"/>
  <c r="AE81" i="40" s="1"/>
  <c r="E82" i="40"/>
  <c r="AG81" i="40"/>
  <c r="K85" i="40" l="1"/>
  <c r="Y84" i="40"/>
  <c r="O83" i="40"/>
  <c r="E83" i="40"/>
  <c r="AG82" i="40"/>
  <c r="AC82" i="40"/>
  <c r="AD82" i="40" s="1"/>
  <c r="AE82" i="40" s="1"/>
  <c r="H83" i="40"/>
  <c r="AB82" i="40"/>
  <c r="AB83" i="40" l="1"/>
  <c r="H84" i="40"/>
  <c r="Y85" i="40"/>
  <c r="K86" i="40"/>
  <c r="E84" i="40"/>
  <c r="AG83" i="40"/>
  <c r="AC83" i="40"/>
  <c r="AD83" i="40" s="1"/>
  <c r="AE83" i="40" s="1"/>
  <c r="O84" i="40"/>
  <c r="AC84" i="40" l="1"/>
  <c r="AD84" i="40" s="1"/>
  <c r="AE84" i="40" s="1"/>
  <c r="E85" i="40"/>
  <c r="AG84" i="40"/>
  <c r="K87" i="40"/>
  <c r="Y86" i="40"/>
  <c r="O85" i="40"/>
  <c r="AB84" i="40"/>
  <c r="H85" i="40"/>
  <c r="O86" i="40" l="1"/>
  <c r="AB85" i="40"/>
  <c r="H86" i="40"/>
  <c r="Y87" i="40"/>
  <c r="K88" i="40"/>
  <c r="E86" i="40"/>
  <c r="AG85" i="40"/>
  <c r="AC85" i="40"/>
  <c r="AD85" i="40" s="1"/>
  <c r="AE85" i="40" s="1"/>
  <c r="AB86" i="40" l="1"/>
  <c r="H87" i="40"/>
  <c r="AC86" i="40"/>
  <c r="AD86" i="40" s="1"/>
  <c r="AE86" i="40" s="1"/>
  <c r="E87" i="40"/>
  <c r="AG86" i="40"/>
  <c r="K89" i="40"/>
  <c r="Y88" i="40"/>
  <c r="O87" i="40"/>
  <c r="Y89" i="40" l="1"/>
  <c r="Y91" i="40" s="1"/>
  <c r="O88" i="40"/>
  <c r="E88" i="40"/>
  <c r="AG87" i="40"/>
  <c r="AC87" i="40"/>
  <c r="AD87" i="40" s="1"/>
  <c r="AE87" i="40" s="1"/>
  <c r="AB87" i="40"/>
  <c r="H88" i="40"/>
  <c r="AQ21" i="40" l="1"/>
  <c r="AQ22" i="40" s="1"/>
  <c r="AQ23" i="40" s="1"/>
  <c r="AQ24" i="40" s="1"/>
  <c r="AQ25" i="40" s="1"/>
  <c r="AQ26" i="40" s="1"/>
  <c r="AQ27" i="40" s="1"/>
  <c r="AQ28" i="40" s="1"/>
  <c r="AQ29" i="40" s="1"/>
  <c r="AQ30" i="40" s="1"/>
  <c r="AQ31" i="40" s="1"/>
  <c r="AQ32" i="40" s="1"/>
  <c r="AQ33" i="40" s="1"/>
  <c r="AQ34" i="40" s="1"/>
  <c r="AQ35" i="40" s="1"/>
  <c r="O89" i="40"/>
  <c r="AG88" i="40"/>
  <c r="AC88" i="40"/>
  <c r="AD88" i="40" s="1"/>
  <c r="AE88" i="40" s="1"/>
  <c r="E89" i="40"/>
  <c r="AB88" i="40"/>
  <c r="H89" i="40"/>
  <c r="AC89" i="40" l="1"/>
  <c r="AD89" i="40" s="1"/>
  <c r="AE89" i="40" s="1"/>
  <c r="AC91" i="40" s="1"/>
  <c r="AG89" i="40"/>
  <c r="AB89" i="40"/>
  <c r="AB91" i="40" s="1"/>
  <c r="AB92" i="40" s="1"/>
  <c r="F53" i="37" l="1"/>
  <c r="H16" i="35"/>
  <c r="H15" i="35"/>
  <c r="H14" i="35"/>
  <c r="C17" i="36"/>
  <c r="F54" i="37" l="1"/>
  <c r="Z6" i="22" s="1"/>
  <c r="Z5" i="22"/>
  <c r="F6" i="7"/>
  <c r="E65" i="34"/>
  <c r="E66" i="34"/>
  <c r="E67" i="34"/>
  <c r="C68" i="34"/>
  <c r="T63" i="22" l="1"/>
  <c r="E68" i="34"/>
  <c r="T151" i="37" l="1"/>
  <c r="V179" i="37"/>
  <c r="T179" i="37"/>
  <c r="V178" i="37"/>
  <c r="T178" i="37"/>
  <c r="V177" i="37"/>
  <c r="T177" i="37"/>
  <c r="V176" i="37"/>
  <c r="T176" i="37"/>
  <c r="T175" i="37"/>
  <c r="V174" i="37"/>
  <c r="T169" i="37"/>
  <c r="T168" i="37"/>
  <c r="T167" i="37"/>
  <c r="T166" i="37"/>
  <c r="T161" i="37"/>
  <c r="T160" i="37"/>
  <c r="T158" i="37"/>
  <c r="T157" i="37"/>
  <c r="T156" i="37"/>
  <c r="T155" i="37"/>
  <c r="T154" i="37"/>
  <c r="T153" i="37"/>
  <c r="T152" i="37"/>
  <c r="D9" i="39" l="1"/>
  <c r="D64" i="39"/>
  <c r="F62" i="39"/>
  <c r="D57" i="39"/>
  <c r="D54" i="39"/>
  <c r="F48" i="39"/>
  <c r="F47" i="39"/>
  <c r="D42" i="39"/>
  <c r="D41" i="39"/>
  <c r="D38" i="39"/>
  <c r="F34" i="39"/>
  <c r="F32" i="39"/>
  <c r="F27" i="39"/>
  <c r="G20" i="39"/>
  <c r="F20" i="39"/>
  <c r="G13" i="39"/>
  <c r="G62" i="39" s="1"/>
  <c r="J11" i="39"/>
  <c r="D63" i="39" s="1"/>
  <c r="J10" i="39"/>
  <c r="D52" i="39" s="1"/>
  <c r="J9" i="39"/>
  <c r="D36" i="39" s="1"/>
  <c r="D40" i="39" l="1"/>
  <c r="D10" i="39"/>
  <c r="D35" i="39" s="1"/>
  <c r="G32" i="39"/>
  <c r="G47" i="39"/>
  <c r="H13" i="39"/>
  <c r="G27" i="39"/>
  <c r="F49" i="39"/>
  <c r="H27" i="39" l="1"/>
  <c r="H20" i="39"/>
  <c r="I13" i="39"/>
  <c r="H62" i="39"/>
  <c r="H47" i="39"/>
  <c r="H32" i="39"/>
  <c r="I27" i="39" l="1"/>
  <c r="J13" i="39"/>
  <c r="I47" i="39"/>
  <c r="I32" i="39"/>
  <c r="I20" i="39"/>
  <c r="I62" i="39"/>
  <c r="K13" i="39" l="1"/>
  <c r="J62" i="39"/>
  <c r="J27" i="39"/>
  <c r="J47" i="39"/>
  <c r="J32" i="39"/>
  <c r="J20" i="39"/>
  <c r="K47" i="39" l="1"/>
  <c r="K32" i="39"/>
  <c r="K27" i="39"/>
  <c r="K20" i="39"/>
  <c r="K62" i="39"/>
  <c r="Q21" i="4" l="1"/>
  <c r="I53" i="36"/>
  <c r="F53" i="36"/>
  <c r="G53" i="36"/>
  <c r="H53" i="36"/>
  <c r="J53" i="36"/>
  <c r="F54" i="36"/>
  <c r="G54" i="36"/>
  <c r="H54" i="36"/>
  <c r="I54" i="36"/>
  <c r="J54" i="36"/>
  <c r="F55" i="36"/>
  <c r="G55" i="36"/>
  <c r="H55" i="36"/>
  <c r="I55" i="36"/>
  <c r="J55" i="36"/>
  <c r="F56" i="36"/>
  <c r="G56" i="36"/>
  <c r="H56" i="36"/>
  <c r="I56" i="36"/>
  <c r="J56" i="36"/>
  <c r="F57" i="36"/>
  <c r="G57" i="36"/>
  <c r="H57" i="36"/>
  <c r="I57" i="36"/>
  <c r="J57" i="36"/>
  <c r="F58" i="36"/>
  <c r="G58" i="36"/>
  <c r="H58" i="36"/>
  <c r="I58" i="36"/>
  <c r="J58" i="36"/>
  <c r="F59" i="36"/>
  <c r="G59" i="36"/>
  <c r="H59" i="36"/>
  <c r="I59" i="36"/>
  <c r="J59" i="36"/>
  <c r="F60" i="36"/>
  <c r="G60" i="36"/>
  <c r="H60" i="36"/>
  <c r="I60" i="36"/>
  <c r="J60" i="36"/>
  <c r="F61" i="36"/>
  <c r="G61" i="36"/>
  <c r="H61" i="36"/>
  <c r="I61" i="36"/>
  <c r="J61" i="36"/>
  <c r="F62" i="36"/>
  <c r="G62" i="36"/>
  <c r="H62" i="36"/>
  <c r="I62" i="36"/>
  <c r="J62" i="36"/>
  <c r="F63" i="36"/>
  <c r="G63" i="36"/>
  <c r="H63" i="36"/>
  <c r="I63" i="36"/>
  <c r="J63" i="36"/>
  <c r="F64" i="36"/>
  <c r="G64" i="36"/>
  <c r="H64" i="36"/>
  <c r="I64" i="36"/>
  <c r="J64" i="36"/>
  <c r="C25" i="36"/>
  <c r="Q116" i="22"/>
  <c r="R116" i="22" s="1"/>
  <c r="S116" i="22"/>
  <c r="T116" i="22" s="1"/>
  <c r="Q117" i="22"/>
  <c r="R117" i="22" s="1"/>
  <c r="S117" i="22"/>
  <c r="T117" i="22" s="1"/>
  <c r="Q118" i="22"/>
  <c r="R118" i="22" s="1"/>
  <c r="S118" i="22"/>
  <c r="T118" i="22" s="1"/>
  <c r="Q119" i="22"/>
  <c r="R119" i="22" s="1"/>
  <c r="S119" i="22"/>
  <c r="T119" i="22" s="1"/>
  <c r="Q120" i="22"/>
  <c r="R120" i="22" s="1"/>
  <c r="S120" i="22"/>
  <c r="T120" i="22" s="1"/>
  <c r="Q121" i="22"/>
  <c r="R121" i="22" s="1"/>
  <c r="S121" i="22"/>
  <c r="T121" i="22" s="1"/>
  <c r="Q122" i="22"/>
  <c r="R122" i="22" s="1"/>
  <c r="S122" i="22"/>
  <c r="T122" i="22" s="1"/>
  <c r="Q123" i="22"/>
  <c r="R123" i="22" s="1"/>
  <c r="S123" i="22"/>
  <c r="T123" i="22" s="1"/>
  <c r="Q124" i="22"/>
  <c r="R124" i="22" s="1"/>
  <c r="S124" i="22"/>
  <c r="T124" i="22" s="1"/>
  <c r="Q125" i="22"/>
  <c r="R125" i="22" s="1"/>
  <c r="S125" i="22"/>
  <c r="T125" i="22" s="1"/>
  <c r="Q126" i="22"/>
  <c r="R126" i="22" s="1"/>
  <c r="S126" i="22"/>
  <c r="T126" i="22" s="1"/>
  <c r="Q127" i="22"/>
  <c r="R127" i="22" s="1"/>
  <c r="S127" i="22"/>
  <c r="T127" i="22" s="1"/>
  <c r="Q128" i="22"/>
  <c r="R128" i="22" s="1"/>
  <c r="S128" i="22"/>
  <c r="T128" i="22" s="1"/>
  <c r="Q129" i="22"/>
  <c r="R129" i="22" s="1"/>
  <c r="S129" i="22"/>
  <c r="T129" i="22" s="1"/>
  <c r="Q130" i="22"/>
  <c r="R130" i="22" s="1"/>
  <c r="S130" i="22"/>
  <c r="T130" i="22" s="1"/>
  <c r="Q131" i="22"/>
  <c r="R131" i="22"/>
  <c r="S131" i="22"/>
  <c r="T131" i="22" s="1"/>
  <c r="Q132" i="22"/>
  <c r="R132" i="22" s="1"/>
  <c r="S132" i="22"/>
  <c r="T132" i="22" s="1"/>
  <c r="Q133" i="22"/>
  <c r="R133" i="22" s="1"/>
  <c r="S133" i="22"/>
  <c r="T133" i="22" s="1"/>
  <c r="Q134" i="22"/>
  <c r="R134" i="22" s="1"/>
  <c r="S134" i="22"/>
  <c r="T134" i="22" s="1"/>
  <c r="Q135" i="22"/>
  <c r="R135" i="22" s="1"/>
  <c r="S135" i="22"/>
  <c r="T135" i="22" s="1"/>
  <c r="Q136" i="22"/>
  <c r="R136" i="22" s="1"/>
  <c r="S136" i="22"/>
  <c r="T136" i="22" s="1"/>
  <c r="Q137" i="22"/>
  <c r="R137" i="22" s="1"/>
  <c r="S137" i="22"/>
  <c r="T137" i="22" s="1"/>
  <c r="Q138" i="22"/>
  <c r="R138" i="22" s="1"/>
  <c r="S138" i="22"/>
  <c r="T138" i="22" s="1"/>
  <c r="Q139" i="22"/>
  <c r="R139" i="22" s="1"/>
  <c r="S139" i="22"/>
  <c r="T139" i="22" s="1"/>
  <c r="Q140" i="22"/>
  <c r="R140" i="22" s="1"/>
  <c r="S140" i="22"/>
  <c r="T140" i="22" s="1"/>
  <c r="Q141" i="22"/>
  <c r="R141" i="22" s="1"/>
  <c r="S141" i="22"/>
  <c r="T141" i="22" s="1"/>
  <c r="Q142" i="22"/>
  <c r="R142" i="22" s="1"/>
  <c r="S142" i="22"/>
  <c r="T142" i="22" s="1"/>
  <c r="Q143" i="22"/>
  <c r="R143" i="22" s="1"/>
  <c r="S143" i="22"/>
  <c r="T143" i="22" s="1"/>
  <c r="Q144" i="22"/>
  <c r="R144" i="22" s="1"/>
  <c r="S144" i="22"/>
  <c r="T144" i="22" s="1"/>
  <c r="Q145" i="22"/>
  <c r="R145" i="22" s="1"/>
  <c r="S145" i="22"/>
  <c r="T145" i="22" s="1"/>
  <c r="Q146" i="22"/>
  <c r="R146" i="22" s="1"/>
  <c r="S146" i="22"/>
  <c r="T146" i="22" s="1"/>
  <c r="Q147" i="22"/>
  <c r="R147" i="22" s="1"/>
  <c r="S147" i="22"/>
  <c r="T147" i="22" s="1"/>
  <c r="Q148" i="22"/>
  <c r="R148" i="22" s="1"/>
  <c r="S148" i="22"/>
  <c r="T148" i="22" s="1"/>
  <c r="Q149" i="22"/>
  <c r="R149" i="22" s="1"/>
  <c r="S149" i="22"/>
  <c r="T149" i="22" s="1"/>
  <c r="Q150" i="22"/>
  <c r="R150" i="22" s="1"/>
  <c r="S150" i="22"/>
  <c r="T150" i="22" s="1"/>
  <c r="Q151" i="22"/>
  <c r="R151" i="22" s="1"/>
  <c r="S151" i="22"/>
  <c r="T151" i="22" s="1"/>
  <c r="Q152" i="22"/>
  <c r="R152" i="22" s="1"/>
  <c r="S152" i="22"/>
  <c r="T152" i="22" s="1"/>
  <c r="Q153" i="22"/>
  <c r="R153" i="22" s="1"/>
  <c r="S153" i="22"/>
  <c r="T153" i="22" s="1"/>
  <c r="Q154" i="22"/>
  <c r="R154" i="22" s="1"/>
  <c r="S154" i="22"/>
  <c r="T154" i="22" s="1"/>
  <c r="Q155" i="22"/>
  <c r="R155" i="22" s="1"/>
  <c r="S155" i="22"/>
  <c r="T155" i="22" s="1"/>
  <c r="Q156" i="22"/>
  <c r="R156" i="22" s="1"/>
  <c r="S156" i="22"/>
  <c r="T156" i="22" s="1"/>
  <c r="Q157" i="22"/>
  <c r="R157" i="22" s="1"/>
  <c r="S157" i="22"/>
  <c r="T157" i="22" s="1"/>
  <c r="Q158" i="22"/>
  <c r="R158" i="22" s="1"/>
  <c r="S158" i="22"/>
  <c r="T158" i="22" s="1"/>
  <c r="Q159" i="22"/>
  <c r="R159" i="22" s="1"/>
  <c r="S159" i="22"/>
  <c r="T159" i="22" s="1"/>
  <c r="Q160" i="22"/>
  <c r="R160" i="22" s="1"/>
  <c r="S160" i="22"/>
  <c r="T160" i="22" s="1"/>
  <c r="Q161" i="22"/>
  <c r="R161" i="22" s="1"/>
  <c r="S161" i="22"/>
  <c r="T161" i="22" s="1"/>
  <c r="Q162" i="22"/>
  <c r="R162" i="22" s="1"/>
  <c r="S162" i="22"/>
  <c r="T162" i="22" s="1"/>
  <c r="Q163" i="22"/>
  <c r="R163" i="22" s="1"/>
  <c r="S163" i="22"/>
  <c r="T163" i="22" s="1"/>
  <c r="Q164" i="22"/>
  <c r="R164" i="22" s="1"/>
  <c r="S164" i="22"/>
  <c r="T164" i="22" s="1"/>
  <c r="Q165" i="22"/>
  <c r="R165" i="22"/>
  <c r="S165" i="22"/>
  <c r="T165" i="22" s="1"/>
  <c r="Q166" i="22"/>
  <c r="R166" i="22" s="1"/>
  <c r="S166" i="22"/>
  <c r="T166" i="22" s="1"/>
  <c r="Q167" i="22"/>
  <c r="R167" i="22" s="1"/>
  <c r="S167" i="22"/>
  <c r="T167" i="22" s="1"/>
  <c r="Q168" i="22"/>
  <c r="R168" i="22" s="1"/>
  <c r="S168" i="22"/>
  <c r="T168" i="22" s="1"/>
  <c r="Q169" i="22"/>
  <c r="R169" i="22" s="1"/>
  <c r="S169" i="22"/>
  <c r="T169" i="22" s="1"/>
  <c r="Q170" i="22"/>
  <c r="R170" i="22" s="1"/>
  <c r="S170" i="22"/>
  <c r="T170" i="22" s="1"/>
  <c r="Q171" i="22"/>
  <c r="R171" i="22" s="1"/>
  <c r="S171" i="22"/>
  <c r="T171" i="22" s="1"/>
  <c r="Q172" i="22"/>
  <c r="R172" i="22" s="1"/>
  <c r="S172" i="22"/>
  <c r="T172" i="22" s="1"/>
  <c r="Q173" i="22"/>
  <c r="R173" i="22" s="1"/>
  <c r="S173" i="22"/>
  <c r="T173" i="22" s="1"/>
  <c r="Q174" i="22"/>
  <c r="R174" i="22" s="1"/>
  <c r="S174" i="22"/>
  <c r="T174" i="22" s="1"/>
  <c r="Q175" i="22"/>
  <c r="R175" i="22" s="1"/>
  <c r="S175" i="22"/>
  <c r="T175" i="22" s="1"/>
  <c r="Q176" i="22"/>
  <c r="R176" i="22" s="1"/>
  <c r="S176" i="22"/>
  <c r="T176" i="22" s="1"/>
  <c r="Q177" i="22"/>
  <c r="R177" i="22" s="1"/>
  <c r="S177" i="22"/>
  <c r="T177" i="22" s="1"/>
  <c r="Q178" i="22"/>
  <c r="R178" i="22" s="1"/>
  <c r="S178" i="22"/>
  <c r="T178" i="22" s="1"/>
  <c r="Q179" i="22"/>
  <c r="R179" i="22" s="1"/>
  <c r="S179" i="22"/>
  <c r="T179" i="22" s="1"/>
  <c r="Q180" i="22"/>
  <c r="R180" i="22" s="1"/>
  <c r="S180" i="22"/>
  <c r="T180" i="22" s="1"/>
  <c r="Q181" i="22"/>
  <c r="R181" i="22" s="1"/>
  <c r="S181" i="22"/>
  <c r="T181" i="22" s="1"/>
  <c r="Q182" i="22"/>
  <c r="R182" i="22" s="1"/>
  <c r="S182" i="22"/>
  <c r="T182" i="22" s="1"/>
  <c r="Q183" i="22"/>
  <c r="R183" i="22" s="1"/>
  <c r="S183" i="22"/>
  <c r="T183" i="22" s="1"/>
  <c r="Q184" i="22"/>
  <c r="R184" i="22" s="1"/>
  <c r="S184" i="22"/>
  <c r="T184" i="22" s="1"/>
  <c r="Q185" i="22"/>
  <c r="R185" i="22" s="1"/>
  <c r="S185" i="22"/>
  <c r="T185" i="22" s="1"/>
  <c r="Q186" i="22"/>
  <c r="R186" i="22" s="1"/>
  <c r="S186" i="22"/>
  <c r="T186" i="22" s="1"/>
  <c r="Q187" i="22"/>
  <c r="R187" i="22" s="1"/>
  <c r="S187" i="22"/>
  <c r="T187" i="22" s="1"/>
  <c r="Q188" i="22"/>
  <c r="R188" i="22" s="1"/>
  <c r="S188" i="22"/>
  <c r="T188" i="22" s="1"/>
  <c r="Q189" i="22"/>
  <c r="R189" i="22" s="1"/>
  <c r="S189" i="22"/>
  <c r="T189" i="22" s="1"/>
  <c r="Q190" i="22"/>
  <c r="R190" i="22" s="1"/>
  <c r="S190" i="22"/>
  <c r="T190" i="22" s="1"/>
  <c r="Q191" i="22"/>
  <c r="R191" i="22" s="1"/>
  <c r="S191" i="22"/>
  <c r="T191" i="22" s="1"/>
  <c r="Q192" i="22"/>
  <c r="R192" i="22" s="1"/>
  <c r="S192" i="22"/>
  <c r="T192" i="22" s="1"/>
  <c r="Q193" i="22"/>
  <c r="R193" i="22" s="1"/>
  <c r="S193" i="22"/>
  <c r="T193" i="22" s="1"/>
  <c r="Q194" i="22"/>
  <c r="R194" i="22" s="1"/>
  <c r="S194" i="22"/>
  <c r="T194" i="22" s="1"/>
  <c r="Q195" i="22"/>
  <c r="R195" i="22" s="1"/>
  <c r="S195" i="22"/>
  <c r="T195" i="22" s="1"/>
  <c r="Q196" i="22"/>
  <c r="R196" i="22" s="1"/>
  <c r="S196" i="22"/>
  <c r="T196" i="22" s="1"/>
  <c r="Q197" i="22"/>
  <c r="R197" i="22" s="1"/>
  <c r="S197" i="22"/>
  <c r="T197" i="22" s="1"/>
  <c r="Q198" i="22"/>
  <c r="R198" i="22" s="1"/>
  <c r="S198" i="22"/>
  <c r="T198" i="22" s="1"/>
  <c r="Q199" i="22"/>
  <c r="R199" i="22" s="1"/>
  <c r="S199" i="22"/>
  <c r="T199" i="22" s="1"/>
  <c r="Q200" i="22"/>
  <c r="R200" i="22" s="1"/>
  <c r="S200" i="22"/>
  <c r="T200" i="22" s="1"/>
  <c r="Q201" i="22"/>
  <c r="R201" i="22" s="1"/>
  <c r="S201" i="22"/>
  <c r="T201" i="22" s="1"/>
  <c r="Q202" i="22"/>
  <c r="R202" i="22" s="1"/>
  <c r="S202" i="22"/>
  <c r="T202" i="22" s="1"/>
  <c r="Q203" i="22"/>
  <c r="R203" i="22" s="1"/>
  <c r="S203" i="22"/>
  <c r="T203" i="22" s="1"/>
  <c r="Q204" i="22"/>
  <c r="R204" i="22" s="1"/>
  <c r="S204" i="22"/>
  <c r="T204" i="22" s="1"/>
  <c r="Q205" i="22"/>
  <c r="R205" i="22" s="1"/>
  <c r="S205" i="22"/>
  <c r="T205" i="22" s="1"/>
  <c r="Q206" i="22"/>
  <c r="R206" i="22" s="1"/>
  <c r="S206" i="22"/>
  <c r="T206" i="22" s="1"/>
  <c r="Q207" i="22"/>
  <c r="R207" i="22" s="1"/>
  <c r="S207" i="22"/>
  <c r="T207" i="22" s="1"/>
  <c r="Q208" i="22"/>
  <c r="R208" i="22" s="1"/>
  <c r="S208" i="22"/>
  <c r="T208" i="22" s="1"/>
  <c r="Q209" i="22"/>
  <c r="R209" i="22" s="1"/>
  <c r="S209" i="22"/>
  <c r="T209" i="22" s="1"/>
  <c r="Q210" i="22"/>
  <c r="R210" i="22" s="1"/>
  <c r="S210" i="22"/>
  <c r="T210" i="22" s="1"/>
  <c r="Q211" i="22"/>
  <c r="R211" i="22" s="1"/>
  <c r="S211" i="22"/>
  <c r="T211" i="22" s="1"/>
  <c r="Q212" i="22"/>
  <c r="R212" i="22" s="1"/>
  <c r="S212" i="22"/>
  <c r="T212" i="22" s="1"/>
  <c r="Q213" i="22"/>
  <c r="R213" i="22" s="1"/>
  <c r="S213" i="22"/>
  <c r="T213" i="22" s="1"/>
  <c r="Q214" i="22"/>
  <c r="R214" i="22" s="1"/>
  <c r="S214" i="22"/>
  <c r="T214" i="22" s="1"/>
  <c r="Q215" i="22"/>
  <c r="R215" i="22" s="1"/>
  <c r="S215" i="22"/>
  <c r="T215" i="22" s="1"/>
  <c r="Q216" i="22"/>
  <c r="R216" i="22" s="1"/>
  <c r="S216" i="22"/>
  <c r="T216" i="22" s="1"/>
  <c r="Q217" i="22"/>
  <c r="R217" i="22" s="1"/>
  <c r="S217" i="22"/>
  <c r="T217" i="22" s="1"/>
  <c r="Q218" i="22"/>
  <c r="R218" i="22" s="1"/>
  <c r="S218" i="22"/>
  <c r="T218" i="22" s="1"/>
  <c r="Q219" i="22"/>
  <c r="R219" i="22" s="1"/>
  <c r="S219" i="22"/>
  <c r="T219" i="22" s="1"/>
  <c r="Q220" i="22"/>
  <c r="R220" i="22" s="1"/>
  <c r="S220" i="22"/>
  <c r="T220" i="22" s="1"/>
  <c r="Q221" i="22"/>
  <c r="R221" i="22" s="1"/>
  <c r="S221" i="22"/>
  <c r="T221" i="22" s="1"/>
  <c r="Q222" i="22"/>
  <c r="R222" i="22" s="1"/>
  <c r="S222" i="22"/>
  <c r="T222" i="22" s="1"/>
  <c r="Q223" i="22"/>
  <c r="R223" i="22" s="1"/>
  <c r="S223" i="22"/>
  <c r="T223" i="22" s="1"/>
  <c r="Q224" i="22"/>
  <c r="R224" i="22" s="1"/>
  <c r="S224" i="22"/>
  <c r="T224" i="22" s="1"/>
  <c r="Q225" i="22"/>
  <c r="R225" i="22" s="1"/>
  <c r="S225" i="22"/>
  <c r="T225" i="22" s="1"/>
  <c r="Q226" i="22"/>
  <c r="R226" i="22" s="1"/>
  <c r="S226" i="22"/>
  <c r="T226" i="22" s="1"/>
  <c r="Q227" i="22"/>
  <c r="R227" i="22" s="1"/>
  <c r="S227" i="22"/>
  <c r="T227" i="22" s="1"/>
  <c r="Q228" i="22"/>
  <c r="R228" i="22" s="1"/>
  <c r="S228" i="22"/>
  <c r="T228" i="22" s="1"/>
  <c r="Q229" i="22"/>
  <c r="R229" i="22" s="1"/>
  <c r="S229" i="22"/>
  <c r="T229" i="22" s="1"/>
  <c r="Q230" i="22"/>
  <c r="R230" i="22" s="1"/>
  <c r="S230" i="22"/>
  <c r="T230" i="22" s="1"/>
  <c r="Q231" i="22"/>
  <c r="R231" i="22" s="1"/>
  <c r="S231" i="22"/>
  <c r="T231" i="22" s="1"/>
  <c r="Q232" i="22"/>
  <c r="R232" i="22" s="1"/>
  <c r="S232" i="22"/>
  <c r="T232" i="22" s="1"/>
  <c r="Q22" i="24"/>
  <c r="Q21" i="24"/>
  <c r="Q19" i="24"/>
  <c r="Q17" i="24"/>
  <c r="Q24" i="4"/>
  <c r="Q22" i="4"/>
  <c r="Q17" i="4"/>
  <c r="Q19" i="4"/>
  <c r="F8" i="36" l="1"/>
  <c r="Q20" i="24"/>
  <c r="S10" i="22"/>
  <c r="T10" i="22" s="1"/>
  <c r="S11" i="22"/>
  <c r="T11" i="22" s="1"/>
  <c r="S13" i="22"/>
  <c r="T13" i="22" s="1"/>
  <c r="S25" i="22"/>
  <c r="T25" i="22" s="1"/>
  <c r="S26" i="22"/>
  <c r="T26" i="22" s="1"/>
  <c r="S27" i="22"/>
  <c r="T27" i="22" s="1"/>
  <c r="S28" i="22"/>
  <c r="T28" i="22" s="1"/>
  <c r="S32" i="22"/>
  <c r="T32" i="22" s="1"/>
  <c r="S33" i="22"/>
  <c r="T33" i="22" s="1"/>
  <c r="S34" i="22"/>
  <c r="T34" i="22" s="1"/>
  <c r="S35" i="22"/>
  <c r="T35" i="22" s="1"/>
  <c r="S44" i="22"/>
  <c r="T44" i="22" s="1"/>
  <c r="S45" i="22"/>
  <c r="T45" i="22" s="1"/>
  <c r="S46" i="22"/>
  <c r="T46" i="22" s="1"/>
  <c r="S47" i="22"/>
  <c r="T47" i="22" s="1"/>
  <c r="S51" i="22"/>
  <c r="T51" i="22" s="1"/>
  <c r="S53" i="22"/>
  <c r="T53" i="22" s="1"/>
  <c r="S54" i="22"/>
  <c r="T54" i="22" s="1"/>
  <c r="S56" i="22"/>
  <c r="T56" i="22" s="1"/>
  <c r="S57" i="22"/>
  <c r="T57" i="22" s="1"/>
  <c r="S60" i="22"/>
  <c r="T60" i="22" s="1"/>
  <c r="S61" i="22"/>
  <c r="T61" i="22" s="1"/>
  <c r="S62" i="22"/>
  <c r="T62" i="22" s="1"/>
  <c r="S79" i="22"/>
  <c r="T79" i="22" s="1"/>
  <c r="S80" i="22"/>
  <c r="T80" i="22" s="1"/>
  <c r="S81" i="22"/>
  <c r="T81" i="22" s="1"/>
  <c r="S83" i="22"/>
  <c r="T83" i="22" s="1"/>
  <c r="S84" i="22"/>
  <c r="T84" i="22" s="1"/>
  <c r="S85" i="22"/>
  <c r="T85" i="22" s="1"/>
  <c r="S86" i="22"/>
  <c r="T86" i="22" s="1"/>
  <c r="S87" i="22"/>
  <c r="T87" i="22" s="1"/>
  <c r="S88" i="22"/>
  <c r="T88" i="22" s="1"/>
  <c r="S90" i="22"/>
  <c r="T90" i="22" s="1"/>
  <c r="S91" i="22"/>
  <c r="T91" i="22" s="1"/>
  <c r="S92" i="22"/>
  <c r="T92" i="22" s="1"/>
  <c r="S93" i="22"/>
  <c r="T93" i="22" s="1"/>
  <c r="S94" i="22"/>
  <c r="T94" i="22" s="1"/>
  <c r="S95" i="22"/>
  <c r="T95" i="22" s="1"/>
  <c r="S96" i="22"/>
  <c r="T96" i="22" s="1"/>
  <c r="S97" i="22"/>
  <c r="T97" i="22" s="1"/>
  <c r="S98" i="22"/>
  <c r="T98" i="22" s="1"/>
  <c r="S99" i="22"/>
  <c r="T99" i="22" s="1"/>
  <c r="S100" i="22"/>
  <c r="T100" i="22" s="1"/>
  <c r="S105" i="22"/>
  <c r="T105" i="22" s="1"/>
  <c r="S107" i="22"/>
  <c r="T107" i="22" s="1"/>
  <c r="S108" i="22"/>
  <c r="T108" i="22" s="1"/>
  <c r="S109" i="22"/>
  <c r="T109" i="22" s="1"/>
  <c r="S112" i="22"/>
  <c r="T112" i="22" s="1"/>
  <c r="Q25" i="22"/>
  <c r="Q26" i="22"/>
  <c r="Q27" i="22"/>
  <c r="Q28" i="22"/>
  <c r="Q32" i="22"/>
  <c r="Q33" i="22"/>
  <c r="Q34" i="22"/>
  <c r="Q35" i="22"/>
  <c r="Q44" i="22"/>
  <c r="Q45" i="22"/>
  <c r="Q46" i="22"/>
  <c r="Q47" i="22"/>
  <c r="Q51" i="22"/>
  <c r="Q53" i="22"/>
  <c r="Q54" i="22"/>
  <c r="Q56" i="22"/>
  <c r="Q57" i="22"/>
  <c r="Q60" i="22"/>
  <c r="Q61" i="22"/>
  <c r="Q62" i="22"/>
  <c r="Q79" i="22"/>
  <c r="Q80" i="22"/>
  <c r="Q81" i="22"/>
  <c r="Q83" i="22"/>
  <c r="Q84" i="22"/>
  <c r="Q85" i="22"/>
  <c r="Q86" i="22"/>
  <c r="Q87" i="22"/>
  <c r="Q88" i="22"/>
  <c r="Q90" i="22"/>
  <c r="Q91" i="22"/>
  <c r="Q92" i="22"/>
  <c r="Q93" i="22"/>
  <c r="Q94" i="22"/>
  <c r="Q95" i="22"/>
  <c r="Q96" i="22"/>
  <c r="Q97" i="22"/>
  <c r="Q98" i="22"/>
  <c r="Q99" i="22"/>
  <c r="Q100" i="22"/>
  <c r="Q105" i="22"/>
  <c r="Q107" i="22"/>
  <c r="Q109" i="22"/>
  <c r="Q112" i="22"/>
  <c r="Q10" i="22"/>
  <c r="Q11" i="22"/>
  <c r="Q13" i="22"/>
  <c r="Q58" i="22" l="1"/>
  <c r="R58" i="22"/>
  <c r="S58" i="22"/>
  <c r="T58" i="22" s="1"/>
  <c r="C101" i="17"/>
  <c r="D101" i="17" s="1"/>
  <c r="E101" i="17" s="1"/>
  <c r="F101" i="17" s="1"/>
  <c r="G101" i="17" s="1"/>
  <c r="H101" i="17" s="1"/>
  <c r="I101" i="17" s="1"/>
  <c r="J101" i="17" s="1"/>
  <c r="K101" i="17" s="1"/>
  <c r="L101" i="17" s="1"/>
  <c r="M101" i="17" s="1"/>
  <c r="N101" i="17" s="1"/>
  <c r="O101" i="17" s="1"/>
  <c r="P101" i="17" s="1"/>
  <c r="Q101" i="17" s="1"/>
  <c r="C103" i="17"/>
  <c r="D103" i="17" s="1"/>
  <c r="E103" i="17" s="1"/>
  <c r="F103" i="17" s="1"/>
  <c r="G103" i="17" s="1"/>
  <c r="H103" i="17" s="1"/>
  <c r="I103" i="17" s="1"/>
  <c r="J103" i="17" s="1"/>
  <c r="K103" i="17" s="1"/>
  <c r="L103" i="17" s="1"/>
  <c r="M103" i="17" s="1"/>
  <c r="N103" i="17" s="1"/>
  <c r="O103" i="17" s="1"/>
  <c r="P103" i="17" s="1"/>
  <c r="Q103" i="17" s="1"/>
  <c r="C106" i="17"/>
  <c r="D106" i="17" s="1"/>
  <c r="E106" i="17" s="1"/>
  <c r="F106" i="17" s="1"/>
  <c r="G106" i="17" s="1"/>
  <c r="H106" i="17" s="1"/>
  <c r="I106" i="17" s="1"/>
  <c r="J106" i="17" s="1"/>
  <c r="K106" i="17" s="1"/>
  <c r="L106" i="17" s="1"/>
  <c r="M106" i="17" s="1"/>
  <c r="N106" i="17" s="1"/>
  <c r="O106" i="17" s="1"/>
  <c r="P106" i="17" s="1"/>
  <c r="Q106" i="17" s="1"/>
  <c r="C99" i="17"/>
  <c r="C73" i="17"/>
  <c r="D73" i="17" s="1"/>
  <c r="E73" i="17" s="1"/>
  <c r="F73" i="17" s="1"/>
  <c r="G73" i="17" s="1"/>
  <c r="H73" i="17" s="1"/>
  <c r="I73" i="17" s="1"/>
  <c r="J73" i="17" s="1"/>
  <c r="K73" i="17" s="1"/>
  <c r="L73" i="17" s="1"/>
  <c r="M73" i="17" s="1"/>
  <c r="N73" i="17" s="1"/>
  <c r="O73" i="17" s="1"/>
  <c r="P73" i="17" s="1"/>
  <c r="Q73" i="17" s="1"/>
  <c r="C74" i="17"/>
  <c r="D74" i="17" s="1"/>
  <c r="E74" i="17" s="1"/>
  <c r="F74" i="17" s="1"/>
  <c r="G74" i="17" s="1"/>
  <c r="H74" i="17" s="1"/>
  <c r="I74" i="17" s="1"/>
  <c r="J74" i="17" s="1"/>
  <c r="K74" i="17" s="1"/>
  <c r="L74" i="17" s="1"/>
  <c r="M74" i="17" s="1"/>
  <c r="N74" i="17" s="1"/>
  <c r="O74" i="17" s="1"/>
  <c r="P74" i="17" s="1"/>
  <c r="Q74" i="17" s="1"/>
  <c r="C75" i="17"/>
  <c r="D75" i="17" s="1"/>
  <c r="E75" i="17" s="1"/>
  <c r="F75" i="17" s="1"/>
  <c r="G75" i="17" s="1"/>
  <c r="H75" i="17" s="1"/>
  <c r="I75" i="17" s="1"/>
  <c r="J75" i="17" s="1"/>
  <c r="K75" i="17" s="1"/>
  <c r="L75" i="17" s="1"/>
  <c r="M75" i="17" s="1"/>
  <c r="N75" i="17" s="1"/>
  <c r="O75" i="17" s="1"/>
  <c r="P75" i="17" s="1"/>
  <c r="Q75" i="17" s="1"/>
  <c r="C77" i="17"/>
  <c r="D77" i="17" s="1"/>
  <c r="E77" i="17" s="1"/>
  <c r="F77" i="17" s="1"/>
  <c r="G77" i="17" s="1"/>
  <c r="H77" i="17" s="1"/>
  <c r="I77" i="17" s="1"/>
  <c r="J77" i="17" s="1"/>
  <c r="K77" i="17" s="1"/>
  <c r="L77" i="17" s="1"/>
  <c r="M77" i="17" s="1"/>
  <c r="N77" i="17" s="1"/>
  <c r="O77" i="17" s="1"/>
  <c r="P77" i="17" s="1"/>
  <c r="Q77" i="17" s="1"/>
  <c r="C78" i="17"/>
  <c r="C79" i="17"/>
  <c r="C80" i="17"/>
  <c r="D80" i="17" s="1"/>
  <c r="E80" i="17" s="1"/>
  <c r="F80" i="17" s="1"/>
  <c r="G80" i="17" s="1"/>
  <c r="H80" i="17" s="1"/>
  <c r="I80" i="17" s="1"/>
  <c r="J80" i="17" s="1"/>
  <c r="K80" i="17" s="1"/>
  <c r="L80" i="17" s="1"/>
  <c r="M80" i="17" s="1"/>
  <c r="N80" i="17" s="1"/>
  <c r="O80" i="17" s="1"/>
  <c r="P80" i="17" s="1"/>
  <c r="Q80" i="17" s="1"/>
  <c r="C81" i="17"/>
  <c r="D81" i="17" s="1"/>
  <c r="E81" i="17" s="1"/>
  <c r="F81" i="17" s="1"/>
  <c r="G81" i="17" s="1"/>
  <c r="H81" i="17" s="1"/>
  <c r="I81" i="17" s="1"/>
  <c r="J81" i="17" s="1"/>
  <c r="K81" i="17" s="1"/>
  <c r="L81" i="17" s="1"/>
  <c r="M81" i="17" s="1"/>
  <c r="N81" i="17" s="1"/>
  <c r="O81" i="17" s="1"/>
  <c r="P81" i="17" s="1"/>
  <c r="Q81" i="17" s="1"/>
  <c r="C82" i="17"/>
  <c r="D82" i="17" s="1"/>
  <c r="E82" i="17" s="1"/>
  <c r="F82" i="17" s="1"/>
  <c r="G82" i="17" s="1"/>
  <c r="H82" i="17" s="1"/>
  <c r="I82" i="17" s="1"/>
  <c r="J82" i="17" s="1"/>
  <c r="K82" i="17" s="1"/>
  <c r="L82" i="17" s="1"/>
  <c r="M82" i="17" s="1"/>
  <c r="N82" i="17" s="1"/>
  <c r="O82" i="17" s="1"/>
  <c r="P82" i="17" s="1"/>
  <c r="Q82" i="17" s="1"/>
  <c r="C84" i="17"/>
  <c r="D84" i="17" s="1"/>
  <c r="E84" i="17" s="1"/>
  <c r="F84" i="17" s="1"/>
  <c r="G84" i="17" s="1"/>
  <c r="H84" i="17" s="1"/>
  <c r="I84" i="17" s="1"/>
  <c r="J84" i="17" s="1"/>
  <c r="K84" i="17" s="1"/>
  <c r="L84" i="17" s="1"/>
  <c r="M84" i="17" s="1"/>
  <c r="N84" i="17" s="1"/>
  <c r="O84" i="17" s="1"/>
  <c r="P84" i="17" s="1"/>
  <c r="Q84" i="17" s="1"/>
  <c r="C85" i="17"/>
  <c r="D85" i="17" s="1"/>
  <c r="E85" i="17" s="1"/>
  <c r="F85" i="17" s="1"/>
  <c r="G85" i="17" s="1"/>
  <c r="H85" i="17" s="1"/>
  <c r="I85" i="17" s="1"/>
  <c r="J85" i="17" s="1"/>
  <c r="K85" i="17" s="1"/>
  <c r="L85" i="17" s="1"/>
  <c r="M85" i="17" s="1"/>
  <c r="N85" i="17" s="1"/>
  <c r="O85" i="17" s="1"/>
  <c r="P85" i="17" s="1"/>
  <c r="Q85" i="17" s="1"/>
  <c r="C86" i="17"/>
  <c r="D86" i="17" s="1"/>
  <c r="E86" i="17" s="1"/>
  <c r="F86" i="17" s="1"/>
  <c r="G86" i="17" s="1"/>
  <c r="H86" i="17" s="1"/>
  <c r="I86" i="17" s="1"/>
  <c r="J86" i="17" s="1"/>
  <c r="K86" i="17" s="1"/>
  <c r="L86" i="17" s="1"/>
  <c r="M86" i="17" s="1"/>
  <c r="N86" i="17" s="1"/>
  <c r="O86" i="17" s="1"/>
  <c r="P86" i="17" s="1"/>
  <c r="Q86" i="17" s="1"/>
  <c r="C87" i="17"/>
  <c r="D87" i="17" s="1"/>
  <c r="E87" i="17" s="1"/>
  <c r="F87" i="17" s="1"/>
  <c r="G87" i="17" s="1"/>
  <c r="H87" i="17" s="1"/>
  <c r="I87" i="17" s="1"/>
  <c r="J87" i="17" s="1"/>
  <c r="K87" i="17" s="1"/>
  <c r="L87" i="17" s="1"/>
  <c r="M87" i="17" s="1"/>
  <c r="N87" i="17" s="1"/>
  <c r="O87" i="17" s="1"/>
  <c r="P87" i="17" s="1"/>
  <c r="Q87" i="17" s="1"/>
  <c r="C88" i="17"/>
  <c r="D88" i="17" s="1"/>
  <c r="E88" i="17" s="1"/>
  <c r="F88" i="17" s="1"/>
  <c r="G88" i="17" s="1"/>
  <c r="H88" i="17" s="1"/>
  <c r="I88" i="17" s="1"/>
  <c r="J88" i="17" s="1"/>
  <c r="K88" i="17" s="1"/>
  <c r="L88" i="17" s="1"/>
  <c r="M88" i="17" s="1"/>
  <c r="N88" i="17" s="1"/>
  <c r="O88" i="17" s="1"/>
  <c r="P88" i="17" s="1"/>
  <c r="Q88" i="17" s="1"/>
  <c r="C89" i="17"/>
  <c r="D89" i="17" s="1"/>
  <c r="E89" i="17" s="1"/>
  <c r="F89" i="17" s="1"/>
  <c r="G89" i="17" s="1"/>
  <c r="H89" i="17" s="1"/>
  <c r="I89" i="17" s="1"/>
  <c r="J89" i="17" s="1"/>
  <c r="K89" i="17" s="1"/>
  <c r="L89" i="17" s="1"/>
  <c r="M89" i="17" s="1"/>
  <c r="N89" i="17" s="1"/>
  <c r="O89" i="17" s="1"/>
  <c r="P89" i="17" s="1"/>
  <c r="Q89" i="17" s="1"/>
  <c r="C90" i="17"/>
  <c r="D90" i="17" s="1"/>
  <c r="E90" i="17" s="1"/>
  <c r="F90" i="17" s="1"/>
  <c r="G90" i="17" s="1"/>
  <c r="H90" i="17" s="1"/>
  <c r="I90" i="17" s="1"/>
  <c r="J90" i="17" s="1"/>
  <c r="K90" i="17" s="1"/>
  <c r="L90" i="17" s="1"/>
  <c r="M90" i="17" s="1"/>
  <c r="N90" i="17" s="1"/>
  <c r="O90" i="17" s="1"/>
  <c r="P90" i="17" s="1"/>
  <c r="Q90" i="17" s="1"/>
  <c r="C91" i="17"/>
  <c r="D91" i="17" s="1"/>
  <c r="E91" i="17" s="1"/>
  <c r="F91" i="17" s="1"/>
  <c r="G91" i="17" s="1"/>
  <c r="H91" i="17" s="1"/>
  <c r="I91" i="17" s="1"/>
  <c r="J91" i="17" s="1"/>
  <c r="K91" i="17" s="1"/>
  <c r="L91" i="17" s="1"/>
  <c r="M91" i="17" s="1"/>
  <c r="N91" i="17" s="1"/>
  <c r="O91" i="17" s="1"/>
  <c r="P91" i="17" s="1"/>
  <c r="Q91" i="17" s="1"/>
  <c r="C92" i="17"/>
  <c r="D92" i="17" s="1"/>
  <c r="E92" i="17" s="1"/>
  <c r="F92" i="17" s="1"/>
  <c r="G92" i="17" s="1"/>
  <c r="H92" i="17" s="1"/>
  <c r="I92" i="17" s="1"/>
  <c r="J92" i="17" s="1"/>
  <c r="K92" i="17" s="1"/>
  <c r="L92" i="17" s="1"/>
  <c r="M92" i="17" s="1"/>
  <c r="N92" i="17" s="1"/>
  <c r="O92" i="17" s="1"/>
  <c r="P92" i="17" s="1"/>
  <c r="Q92" i="17" s="1"/>
  <c r="C93" i="17"/>
  <c r="D93" i="17" s="1"/>
  <c r="E93" i="17" s="1"/>
  <c r="F93" i="17" s="1"/>
  <c r="G93" i="17" s="1"/>
  <c r="H93" i="17" s="1"/>
  <c r="I93" i="17" s="1"/>
  <c r="J93" i="17" s="1"/>
  <c r="K93" i="17" s="1"/>
  <c r="L93" i="17" s="1"/>
  <c r="M93" i="17" s="1"/>
  <c r="N93" i="17" s="1"/>
  <c r="O93" i="17" s="1"/>
  <c r="P93" i="17" s="1"/>
  <c r="Q93" i="17" s="1"/>
  <c r="C94" i="17"/>
  <c r="D94" i="17" s="1"/>
  <c r="E94" i="17" s="1"/>
  <c r="F94" i="17" s="1"/>
  <c r="G94" i="17" s="1"/>
  <c r="H94" i="17" s="1"/>
  <c r="I94" i="17" s="1"/>
  <c r="J94" i="17" s="1"/>
  <c r="K94" i="17" s="1"/>
  <c r="L94" i="17" s="1"/>
  <c r="M94" i="17" s="1"/>
  <c r="N94" i="17" s="1"/>
  <c r="O94" i="17" s="1"/>
  <c r="P94" i="17" s="1"/>
  <c r="Q94" i="17" s="1"/>
  <c r="D78" i="17"/>
  <c r="E78" i="17" s="1"/>
  <c r="F78" i="17" s="1"/>
  <c r="G78" i="17" s="1"/>
  <c r="H78" i="17" s="1"/>
  <c r="I78" i="17" s="1"/>
  <c r="J78" i="17" s="1"/>
  <c r="K78" i="17" s="1"/>
  <c r="L78" i="17" s="1"/>
  <c r="M78" i="17" s="1"/>
  <c r="N78" i="17" s="1"/>
  <c r="O78" i="17" s="1"/>
  <c r="P78" i="17" s="1"/>
  <c r="Q78" i="17" s="1"/>
  <c r="C42" i="17"/>
  <c r="D42" i="17" s="1"/>
  <c r="E42" i="17" s="1"/>
  <c r="F42" i="17" s="1"/>
  <c r="G42" i="17" s="1"/>
  <c r="H42" i="17" s="1"/>
  <c r="I42" i="17" s="1"/>
  <c r="J42" i="17" s="1"/>
  <c r="K42" i="17" s="1"/>
  <c r="L42" i="17" s="1"/>
  <c r="M42" i="17" s="1"/>
  <c r="N42" i="17" s="1"/>
  <c r="O42" i="17" s="1"/>
  <c r="P42" i="17" s="1"/>
  <c r="Q42" i="17" s="1"/>
  <c r="C43" i="17"/>
  <c r="D43" i="17" s="1"/>
  <c r="E43" i="17" s="1"/>
  <c r="F43" i="17" s="1"/>
  <c r="G43" i="17" s="1"/>
  <c r="H43" i="17" s="1"/>
  <c r="I43" i="17" s="1"/>
  <c r="J43" i="17" s="1"/>
  <c r="K43" i="17" s="1"/>
  <c r="L43" i="17" s="1"/>
  <c r="M43" i="17" s="1"/>
  <c r="N43" i="17" s="1"/>
  <c r="O43" i="17" s="1"/>
  <c r="P43" i="17" s="1"/>
  <c r="Q43" i="17" s="1"/>
  <c r="C44" i="17"/>
  <c r="D44" i="17" s="1"/>
  <c r="E44" i="17" s="1"/>
  <c r="F44" i="17" s="1"/>
  <c r="G44" i="17" s="1"/>
  <c r="H44" i="17" s="1"/>
  <c r="I44" i="17" s="1"/>
  <c r="J44" i="17" s="1"/>
  <c r="K44" i="17" s="1"/>
  <c r="L44" i="17" s="1"/>
  <c r="M44" i="17" s="1"/>
  <c r="N44" i="17" s="1"/>
  <c r="O44" i="17" s="1"/>
  <c r="P44" i="17" s="1"/>
  <c r="Q44" i="17" s="1"/>
  <c r="C48" i="17"/>
  <c r="C50" i="17"/>
  <c r="D50" i="17" s="1"/>
  <c r="E50" i="17" s="1"/>
  <c r="F50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Q50" i="17" s="1"/>
  <c r="C51" i="17"/>
  <c r="D51" i="17" s="1"/>
  <c r="E51" i="17" s="1"/>
  <c r="F51" i="17" s="1"/>
  <c r="G51" i="17" s="1"/>
  <c r="H51" i="17" s="1"/>
  <c r="I51" i="17" s="1"/>
  <c r="J51" i="17" s="1"/>
  <c r="K51" i="17" s="1"/>
  <c r="L51" i="17" s="1"/>
  <c r="M51" i="17" s="1"/>
  <c r="N51" i="17" s="1"/>
  <c r="O51" i="17" s="1"/>
  <c r="P51" i="17" s="1"/>
  <c r="Q51" i="17" s="1"/>
  <c r="C53" i="17"/>
  <c r="D53" i="17" s="1"/>
  <c r="E53" i="17" s="1"/>
  <c r="F53" i="17" s="1"/>
  <c r="G53" i="17" s="1"/>
  <c r="H53" i="17" s="1"/>
  <c r="I53" i="17" s="1"/>
  <c r="J53" i="17" s="1"/>
  <c r="K53" i="17" s="1"/>
  <c r="L53" i="17" s="1"/>
  <c r="M53" i="17" s="1"/>
  <c r="N53" i="17" s="1"/>
  <c r="O53" i="17" s="1"/>
  <c r="P53" i="17" s="1"/>
  <c r="Q53" i="17" s="1"/>
  <c r="C54" i="17"/>
  <c r="D54" i="17" s="1"/>
  <c r="E54" i="17" s="1"/>
  <c r="F54" i="17" s="1"/>
  <c r="G54" i="17" s="1"/>
  <c r="H54" i="17" s="1"/>
  <c r="I54" i="17" s="1"/>
  <c r="J54" i="17" s="1"/>
  <c r="K54" i="17" s="1"/>
  <c r="L54" i="17" s="1"/>
  <c r="M54" i="17" s="1"/>
  <c r="N54" i="17" s="1"/>
  <c r="O54" i="17" s="1"/>
  <c r="P54" i="17" s="1"/>
  <c r="Q54" i="17" s="1"/>
  <c r="C55" i="17"/>
  <c r="D55" i="17" s="1"/>
  <c r="E55" i="17" s="1"/>
  <c r="F55" i="17" s="1"/>
  <c r="G55" i="17" s="1"/>
  <c r="H55" i="17" s="1"/>
  <c r="I55" i="17" s="1"/>
  <c r="J55" i="17" s="1"/>
  <c r="K55" i="17" s="1"/>
  <c r="L55" i="17" s="1"/>
  <c r="M55" i="17" s="1"/>
  <c r="N55" i="17" s="1"/>
  <c r="O55" i="17" s="1"/>
  <c r="P55" i="17" s="1"/>
  <c r="Q55" i="17" s="1"/>
  <c r="C57" i="17"/>
  <c r="D57" i="17" s="1"/>
  <c r="E57" i="17" s="1"/>
  <c r="F57" i="17" s="1"/>
  <c r="G57" i="17" s="1"/>
  <c r="H57" i="17" s="1"/>
  <c r="I57" i="17" s="1"/>
  <c r="J57" i="17" s="1"/>
  <c r="K57" i="17" s="1"/>
  <c r="L57" i="17" s="1"/>
  <c r="M57" i="17" s="1"/>
  <c r="N57" i="17" s="1"/>
  <c r="O57" i="17" s="1"/>
  <c r="P57" i="17" s="1"/>
  <c r="Q57" i="17" s="1"/>
  <c r="C58" i="17"/>
  <c r="D58" i="17" s="1"/>
  <c r="E58" i="17" s="1"/>
  <c r="F58" i="17" s="1"/>
  <c r="G58" i="17" s="1"/>
  <c r="H58" i="17" s="1"/>
  <c r="I58" i="17" s="1"/>
  <c r="J58" i="17" s="1"/>
  <c r="K58" i="17" s="1"/>
  <c r="L58" i="17" s="1"/>
  <c r="M58" i="17" s="1"/>
  <c r="N58" i="17" s="1"/>
  <c r="O58" i="17" s="1"/>
  <c r="P58" i="17" s="1"/>
  <c r="Q58" i="17" s="1"/>
  <c r="C59" i="17"/>
  <c r="D59" i="17" s="1"/>
  <c r="E59" i="17" s="1"/>
  <c r="F59" i="17" s="1"/>
  <c r="G59" i="17" s="1"/>
  <c r="H59" i="17" s="1"/>
  <c r="I59" i="17" s="1"/>
  <c r="J59" i="17" s="1"/>
  <c r="K59" i="17" s="1"/>
  <c r="L59" i="17" s="1"/>
  <c r="M59" i="17" s="1"/>
  <c r="N59" i="17" s="1"/>
  <c r="O59" i="17" s="1"/>
  <c r="P59" i="17" s="1"/>
  <c r="Q59" i="17" s="1"/>
  <c r="C41" i="17"/>
  <c r="C31" i="17"/>
  <c r="D31" i="17" s="1"/>
  <c r="E31" i="17" s="1"/>
  <c r="F31" i="17" s="1"/>
  <c r="G31" i="17" s="1"/>
  <c r="H31" i="17" s="1"/>
  <c r="I31" i="17" s="1"/>
  <c r="J31" i="17" s="1"/>
  <c r="K31" i="17" s="1"/>
  <c r="L31" i="17" s="1"/>
  <c r="M31" i="17" s="1"/>
  <c r="N31" i="17" s="1"/>
  <c r="O31" i="17" s="1"/>
  <c r="P31" i="17" s="1"/>
  <c r="Q31" i="17" s="1"/>
  <c r="C32" i="17"/>
  <c r="D32" i="17" s="1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2" i="17" s="1"/>
  <c r="C33" i="17"/>
  <c r="D33" i="17" s="1"/>
  <c r="E33" i="17" s="1"/>
  <c r="F33" i="17" s="1"/>
  <c r="G33" i="17" s="1"/>
  <c r="H33" i="17" s="1"/>
  <c r="I33" i="17" s="1"/>
  <c r="J33" i="17" s="1"/>
  <c r="K33" i="17" s="1"/>
  <c r="L33" i="17" s="1"/>
  <c r="M33" i="17" s="1"/>
  <c r="N33" i="17" s="1"/>
  <c r="O33" i="17" s="1"/>
  <c r="P33" i="17" s="1"/>
  <c r="Q33" i="17" s="1"/>
  <c r="C30" i="17"/>
  <c r="C24" i="17"/>
  <c r="D24" i="17" s="1"/>
  <c r="E24" i="17" s="1"/>
  <c r="F24" i="17" s="1"/>
  <c r="G24" i="17" s="1"/>
  <c r="H24" i="17" s="1"/>
  <c r="I24" i="17" s="1"/>
  <c r="J24" i="17" s="1"/>
  <c r="K24" i="17" s="1"/>
  <c r="L24" i="17" s="1"/>
  <c r="M24" i="17" s="1"/>
  <c r="N24" i="17" s="1"/>
  <c r="O24" i="17" s="1"/>
  <c r="P24" i="17" s="1"/>
  <c r="Q24" i="17" s="1"/>
  <c r="C25" i="17"/>
  <c r="D25" i="17" s="1"/>
  <c r="E25" i="17" s="1"/>
  <c r="F25" i="17" s="1"/>
  <c r="G25" i="17" s="1"/>
  <c r="H25" i="17" s="1"/>
  <c r="I25" i="17" s="1"/>
  <c r="J25" i="17" s="1"/>
  <c r="K25" i="17" s="1"/>
  <c r="L25" i="17" s="1"/>
  <c r="M25" i="17" s="1"/>
  <c r="N25" i="17" s="1"/>
  <c r="O25" i="17" s="1"/>
  <c r="P25" i="17" s="1"/>
  <c r="Q25" i="17" s="1"/>
  <c r="C26" i="17"/>
  <c r="D26" i="17" s="1"/>
  <c r="E26" i="17" s="1"/>
  <c r="F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C23" i="17"/>
  <c r="D23" i="17" s="1"/>
  <c r="E23" i="17" s="1"/>
  <c r="F23" i="17" s="1"/>
  <c r="C10" i="17"/>
  <c r="C11" i="17"/>
  <c r="C13" i="17"/>
  <c r="D79" i="17"/>
  <c r="E79" i="17" s="1"/>
  <c r="F79" i="17" s="1"/>
  <c r="G79" i="17" s="1"/>
  <c r="H79" i="17" s="1"/>
  <c r="I79" i="17" s="1"/>
  <c r="J79" i="17" s="1"/>
  <c r="K79" i="17" s="1"/>
  <c r="L79" i="17" s="1"/>
  <c r="M79" i="17" s="1"/>
  <c r="N79" i="17" s="1"/>
  <c r="O79" i="17" s="1"/>
  <c r="P79" i="17" s="1"/>
  <c r="Q79" i="17" s="1"/>
  <c r="E102" i="16"/>
  <c r="F102" i="16" s="1"/>
  <c r="G102" i="16" s="1"/>
  <c r="H102" i="16" s="1"/>
  <c r="I102" i="16" s="1"/>
  <c r="J102" i="16" s="1"/>
  <c r="K102" i="16" s="1"/>
  <c r="L102" i="16" s="1"/>
  <c r="M102" i="16" s="1"/>
  <c r="N102" i="16" s="1"/>
  <c r="O102" i="16" s="1"/>
  <c r="P102" i="16" s="1"/>
  <c r="Q102" i="16" s="1"/>
  <c r="R102" i="16" s="1"/>
  <c r="S102" i="16" s="1"/>
  <c r="E103" i="16"/>
  <c r="F103" i="16" s="1"/>
  <c r="G103" i="16" s="1"/>
  <c r="H103" i="16" s="1"/>
  <c r="I103" i="16" s="1"/>
  <c r="J103" i="16" s="1"/>
  <c r="K103" i="16" s="1"/>
  <c r="L103" i="16" s="1"/>
  <c r="M103" i="16" s="1"/>
  <c r="N103" i="16" s="1"/>
  <c r="O103" i="16" s="1"/>
  <c r="P103" i="16" s="1"/>
  <c r="Q103" i="16" s="1"/>
  <c r="R103" i="16" s="1"/>
  <c r="S103" i="16" s="1"/>
  <c r="E104" i="16"/>
  <c r="F104" i="16" s="1"/>
  <c r="G104" i="16" s="1"/>
  <c r="H104" i="16" s="1"/>
  <c r="I104" i="16" s="1"/>
  <c r="J104" i="16" s="1"/>
  <c r="K104" i="16" s="1"/>
  <c r="L104" i="16" s="1"/>
  <c r="M104" i="16" s="1"/>
  <c r="N104" i="16" s="1"/>
  <c r="O104" i="16" s="1"/>
  <c r="P104" i="16" s="1"/>
  <c r="Q104" i="16" s="1"/>
  <c r="R104" i="16" s="1"/>
  <c r="S104" i="16" s="1"/>
  <c r="E107" i="16"/>
  <c r="F107" i="16" s="1"/>
  <c r="G107" i="16" s="1"/>
  <c r="H107" i="16" s="1"/>
  <c r="I107" i="16" s="1"/>
  <c r="J107" i="16" s="1"/>
  <c r="K107" i="16" s="1"/>
  <c r="L107" i="16" s="1"/>
  <c r="M107" i="16" s="1"/>
  <c r="N107" i="16" s="1"/>
  <c r="O107" i="16" s="1"/>
  <c r="P107" i="16" s="1"/>
  <c r="Q107" i="16" s="1"/>
  <c r="R107" i="16" s="1"/>
  <c r="S107" i="16" s="1"/>
  <c r="E100" i="16"/>
  <c r="F100" i="16" s="1"/>
  <c r="E74" i="16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Q74" i="16" s="1"/>
  <c r="R74" i="16" s="1"/>
  <c r="S74" i="16" s="1"/>
  <c r="E75" i="16"/>
  <c r="F75" i="16" s="1"/>
  <c r="G75" i="16" s="1"/>
  <c r="H75" i="16" s="1"/>
  <c r="I75" i="16" s="1"/>
  <c r="J75" i="16" s="1"/>
  <c r="K75" i="16" s="1"/>
  <c r="L75" i="16" s="1"/>
  <c r="M75" i="16" s="1"/>
  <c r="N75" i="16" s="1"/>
  <c r="O75" i="16" s="1"/>
  <c r="P75" i="16" s="1"/>
  <c r="Q75" i="16" s="1"/>
  <c r="R75" i="16" s="1"/>
  <c r="S75" i="16" s="1"/>
  <c r="E76" i="16"/>
  <c r="F76" i="16" s="1"/>
  <c r="G76" i="16" s="1"/>
  <c r="H76" i="16" s="1"/>
  <c r="I76" i="16" s="1"/>
  <c r="J76" i="16" s="1"/>
  <c r="K76" i="16" s="1"/>
  <c r="L76" i="16" s="1"/>
  <c r="M76" i="16" s="1"/>
  <c r="N76" i="16" s="1"/>
  <c r="O76" i="16" s="1"/>
  <c r="P76" i="16" s="1"/>
  <c r="Q76" i="16" s="1"/>
  <c r="R76" i="16" s="1"/>
  <c r="S76" i="16" s="1"/>
  <c r="E78" i="16"/>
  <c r="F78" i="16" s="1"/>
  <c r="G78" i="16" s="1"/>
  <c r="H78" i="16" s="1"/>
  <c r="I78" i="16" s="1"/>
  <c r="J78" i="16" s="1"/>
  <c r="K78" i="16" s="1"/>
  <c r="L78" i="16" s="1"/>
  <c r="M78" i="16" s="1"/>
  <c r="N78" i="16" s="1"/>
  <c r="O78" i="16" s="1"/>
  <c r="P78" i="16" s="1"/>
  <c r="Q78" i="16" s="1"/>
  <c r="R78" i="16" s="1"/>
  <c r="S78" i="16" s="1"/>
  <c r="E79" i="16"/>
  <c r="F79" i="16" s="1"/>
  <c r="G79" i="16" s="1"/>
  <c r="H79" i="16" s="1"/>
  <c r="I79" i="16" s="1"/>
  <c r="J79" i="16" s="1"/>
  <c r="K79" i="16" s="1"/>
  <c r="L79" i="16" s="1"/>
  <c r="M79" i="16" s="1"/>
  <c r="N79" i="16" s="1"/>
  <c r="O79" i="16" s="1"/>
  <c r="P79" i="16" s="1"/>
  <c r="Q79" i="16" s="1"/>
  <c r="R79" i="16" s="1"/>
  <c r="S79" i="16" s="1"/>
  <c r="E80" i="16"/>
  <c r="F80" i="16" s="1"/>
  <c r="G80" i="16" s="1"/>
  <c r="H80" i="16" s="1"/>
  <c r="I80" i="16" s="1"/>
  <c r="J80" i="16" s="1"/>
  <c r="K80" i="16" s="1"/>
  <c r="L80" i="16" s="1"/>
  <c r="M80" i="16" s="1"/>
  <c r="N80" i="16" s="1"/>
  <c r="O80" i="16" s="1"/>
  <c r="P80" i="16" s="1"/>
  <c r="Q80" i="16" s="1"/>
  <c r="R80" i="16" s="1"/>
  <c r="S80" i="16" s="1"/>
  <c r="E81" i="16"/>
  <c r="F81" i="16" s="1"/>
  <c r="G81" i="16" s="1"/>
  <c r="H81" i="16" s="1"/>
  <c r="I81" i="16" s="1"/>
  <c r="J81" i="16" s="1"/>
  <c r="K81" i="16" s="1"/>
  <c r="L81" i="16" s="1"/>
  <c r="M81" i="16" s="1"/>
  <c r="N81" i="16" s="1"/>
  <c r="O81" i="16" s="1"/>
  <c r="P81" i="16" s="1"/>
  <c r="Q81" i="16" s="1"/>
  <c r="R81" i="16" s="1"/>
  <c r="S81" i="16" s="1"/>
  <c r="E82" i="16"/>
  <c r="F82" i="16" s="1"/>
  <c r="G82" i="16" s="1"/>
  <c r="H82" i="16" s="1"/>
  <c r="I82" i="16" s="1"/>
  <c r="J82" i="16" s="1"/>
  <c r="K82" i="16" s="1"/>
  <c r="L82" i="16" s="1"/>
  <c r="M82" i="16" s="1"/>
  <c r="N82" i="16" s="1"/>
  <c r="O82" i="16" s="1"/>
  <c r="P82" i="16" s="1"/>
  <c r="Q82" i="16" s="1"/>
  <c r="R82" i="16" s="1"/>
  <c r="S82" i="16" s="1"/>
  <c r="E83" i="16"/>
  <c r="F83" i="16" s="1"/>
  <c r="G83" i="16" s="1"/>
  <c r="H83" i="16" s="1"/>
  <c r="I83" i="16" s="1"/>
  <c r="J83" i="16" s="1"/>
  <c r="K83" i="16" s="1"/>
  <c r="L83" i="16" s="1"/>
  <c r="M83" i="16" s="1"/>
  <c r="N83" i="16" s="1"/>
  <c r="O83" i="16" s="1"/>
  <c r="P83" i="16" s="1"/>
  <c r="Q83" i="16" s="1"/>
  <c r="R83" i="16" s="1"/>
  <c r="S83" i="16" s="1"/>
  <c r="E85" i="16"/>
  <c r="F85" i="16" s="1"/>
  <c r="G85" i="16" s="1"/>
  <c r="H85" i="16" s="1"/>
  <c r="I85" i="16" s="1"/>
  <c r="J85" i="16" s="1"/>
  <c r="K85" i="16" s="1"/>
  <c r="L85" i="16" s="1"/>
  <c r="M85" i="16" s="1"/>
  <c r="N85" i="16" s="1"/>
  <c r="O85" i="16" s="1"/>
  <c r="P85" i="16" s="1"/>
  <c r="Q85" i="16" s="1"/>
  <c r="R85" i="16" s="1"/>
  <c r="S85" i="16" s="1"/>
  <c r="E86" i="16"/>
  <c r="F86" i="16" s="1"/>
  <c r="G86" i="16" s="1"/>
  <c r="H86" i="16" s="1"/>
  <c r="I86" i="16" s="1"/>
  <c r="J86" i="16" s="1"/>
  <c r="K86" i="16" s="1"/>
  <c r="L86" i="16" s="1"/>
  <c r="M86" i="16" s="1"/>
  <c r="N86" i="16" s="1"/>
  <c r="O86" i="16" s="1"/>
  <c r="P86" i="16" s="1"/>
  <c r="Q86" i="16" s="1"/>
  <c r="R86" i="16" s="1"/>
  <c r="S86" i="16" s="1"/>
  <c r="E87" i="16"/>
  <c r="F87" i="16" s="1"/>
  <c r="G87" i="16" s="1"/>
  <c r="H87" i="16" s="1"/>
  <c r="I87" i="16" s="1"/>
  <c r="J87" i="16" s="1"/>
  <c r="K87" i="16" s="1"/>
  <c r="L87" i="16" s="1"/>
  <c r="M87" i="16" s="1"/>
  <c r="N87" i="16" s="1"/>
  <c r="O87" i="16" s="1"/>
  <c r="P87" i="16" s="1"/>
  <c r="Q87" i="16" s="1"/>
  <c r="R87" i="16" s="1"/>
  <c r="S87" i="16" s="1"/>
  <c r="E88" i="16"/>
  <c r="F88" i="16" s="1"/>
  <c r="G88" i="16" s="1"/>
  <c r="H88" i="16" s="1"/>
  <c r="I88" i="16" s="1"/>
  <c r="J88" i="16" s="1"/>
  <c r="K88" i="16" s="1"/>
  <c r="L88" i="16" s="1"/>
  <c r="M88" i="16" s="1"/>
  <c r="N88" i="16" s="1"/>
  <c r="O88" i="16" s="1"/>
  <c r="P88" i="16" s="1"/>
  <c r="Q88" i="16" s="1"/>
  <c r="R88" i="16" s="1"/>
  <c r="S88" i="16" s="1"/>
  <c r="E89" i="16"/>
  <c r="F89" i="16" s="1"/>
  <c r="G89" i="16" s="1"/>
  <c r="H89" i="16" s="1"/>
  <c r="I89" i="16" s="1"/>
  <c r="J89" i="16" s="1"/>
  <c r="K89" i="16" s="1"/>
  <c r="L89" i="16" s="1"/>
  <c r="M89" i="16" s="1"/>
  <c r="N89" i="16" s="1"/>
  <c r="O89" i="16" s="1"/>
  <c r="P89" i="16" s="1"/>
  <c r="Q89" i="16" s="1"/>
  <c r="R89" i="16" s="1"/>
  <c r="S89" i="16" s="1"/>
  <c r="E90" i="16"/>
  <c r="F90" i="16" s="1"/>
  <c r="G90" i="16" s="1"/>
  <c r="H90" i="16" s="1"/>
  <c r="I90" i="16" s="1"/>
  <c r="J90" i="16" s="1"/>
  <c r="K90" i="16" s="1"/>
  <c r="L90" i="16" s="1"/>
  <c r="M90" i="16" s="1"/>
  <c r="N90" i="16" s="1"/>
  <c r="O90" i="16" s="1"/>
  <c r="P90" i="16" s="1"/>
  <c r="Q90" i="16" s="1"/>
  <c r="R90" i="16" s="1"/>
  <c r="S90" i="16" s="1"/>
  <c r="E91" i="16"/>
  <c r="F91" i="16" s="1"/>
  <c r="G91" i="16" s="1"/>
  <c r="H91" i="16" s="1"/>
  <c r="I91" i="16" s="1"/>
  <c r="J91" i="16" s="1"/>
  <c r="K91" i="16" s="1"/>
  <c r="L91" i="16" s="1"/>
  <c r="M91" i="16" s="1"/>
  <c r="N91" i="16" s="1"/>
  <c r="O91" i="16" s="1"/>
  <c r="P91" i="16" s="1"/>
  <c r="Q91" i="16" s="1"/>
  <c r="R91" i="16" s="1"/>
  <c r="S91" i="16" s="1"/>
  <c r="E92" i="16"/>
  <c r="F92" i="16" s="1"/>
  <c r="G92" i="16" s="1"/>
  <c r="H92" i="16" s="1"/>
  <c r="I92" i="16" s="1"/>
  <c r="J92" i="16" s="1"/>
  <c r="K92" i="16" s="1"/>
  <c r="L92" i="16" s="1"/>
  <c r="M92" i="16" s="1"/>
  <c r="N92" i="16" s="1"/>
  <c r="O92" i="16" s="1"/>
  <c r="P92" i="16" s="1"/>
  <c r="Q92" i="16" s="1"/>
  <c r="R92" i="16" s="1"/>
  <c r="S92" i="16" s="1"/>
  <c r="E93" i="16"/>
  <c r="F93" i="16" s="1"/>
  <c r="G93" i="16" s="1"/>
  <c r="H93" i="16" s="1"/>
  <c r="I93" i="16" s="1"/>
  <c r="J93" i="16" s="1"/>
  <c r="K93" i="16" s="1"/>
  <c r="L93" i="16" s="1"/>
  <c r="M93" i="16" s="1"/>
  <c r="N93" i="16" s="1"/>
  <c r="O93" i="16" s="1"/>
  <c r="P93" i="16" s="1"/>
  <c r="Q93" i="16" s="1"/>
  <c r="R93" i="16" s="1"/>
  <c r="S93" i="16" s="1"/>
  <c r="E94" i="16"/>
  <c r="F94" i="16" s="1"/>
  <c r="G94" i="16" s="1"/>
  <c r="H94" i="16" s="1"/>
  <c r="I94" i="16" s="1"/>
  <c r="J94" i="16" s="1"/>
  <c r="K94" i="16" s="1"/>
  <c r="L94" i="16" s="1"/>
  <c r="M94" i="16" s="1"/>
  <c r="N94" i="16" s="1"/>
  <c r="O94" i="16" s="1"/>
  <c r="P94" i="16" s="1"/>
  <c r="Q94" i="16" s="1"/>
  <c r="R94" i="16" s="1"/>
  <c r="S94" i="16" s="1"/>
  <c r="E95" i="16"/>
  <c r="F95" i="16" s="1"/>
  <c r="G95" i="16" s="1"/>
  <c r="H95" i="16" s="1"/>
  <c r="I95" i="16" s="1"/>
  <c r="J95" i="16" s="1"/>
  <c r="K95" i="16" s="1"/>
  <c r="L95" i="16" s="1"/>
  <c r="M95" i="16" s="1"/>
  <c r="N95" i="16" s="1"/>
  <c r="O95" i="16" s="1"/>
  <c r="P95" i="16" s="1"/>
  <c r="Q95" i="16" s="1"/>
  <c r="R95" i="16" s="1"/>
  <c r="S95" i="16" s="1"/>
  <c r="E42" i="16"/>
  <c r="F42" i="16" s="1"/>
  <c r="G42" i="16" s="1"/>
  <c r="H42" i="16" s="1"/>
  <c r="I42" i="16" s="1"/>
  <c r="J42" i="16" s="1"/>
  <c r="K42" i="16" s="1"/>
  <c r="L42" i="16" s="1"/>
  <c r="M42" i="16" s="1"/>
  <c r="N42" i="16" s="1"/>
  <c r="O42" i="16" s="1"/>
  <c r="P42" i="16" s="1"/>
  <c r="Q42" i="16" s="1"/>
  <c r="R42" i="16" s="1"/>
  <c r="S42" i="16" s="1"/>
  <c r="E43" i="16"/>
  <c r="F43" i="16" s="1"/>
  <c r="G43" i="16" s="1"/>
  <c r="H43" i="16" s="1"/>
  <c r="I43" i="16" s="1"/>
  <c r="J43" i="16" s="1"/>
  <c r="K43" i="16" s="1"/>
  <c r="L43" i="16" s="1"/>
  <c r="M43" i="16" s="1"/>
  <c r="N43" i="16" s="1"/>
  <c r="O43" i="16" s="1"/>
  <c r="P43" i="16" s="1"/>
  <c r="Q43" i="16" s="1"/>
  <c r="R43" i="16" s="1"/>
  <c r="S43" i="16" s="1"/>
  <c r="E44" i="16"/>
  <c r="F44" i="16" s="1"/>
  <c r="G44" i="16" s="1"/>
  <c r="H44" i="16" s="1"/>
  <c r="I44" i="16" s="1"/>
  <c r="J44" i="16" s="1"/>
  <c r="K44" i="16" s="1"/>
  <c r="L44" i="16" s="1"/>
  <c r="M44" i="16" s="1"/>
  <c r="N44" i="16" s="1"/>
  <c r="O44" i="16" s="1"/>
  <c r="P44" i="16" s="1"/>
  <c r="Q44" i="16" s="1"/>
  <c r="R44" i="16" s="1"/>
  <c r="S44" i="16" s="1"/>
  <c r="E48" i="16"/>
  <c r="F48" i="16" s="1"/>
  <c r="G48" i="16" s="1"/>
  <c r="H48" i="16" s="1"/>
  <c r="I48" i="16" s="1"/>
  <c r="J48" i="16" s="1"/>
  <c r="K48" i="16" s="1"/>
  <c r="L48" i="16" s="1"/>
  <c r="M48" i="16" s="1"/>
  <c r="N48" i="16" s="1"/>
  <c r="O48" i="16" s="1"/>
  <c r="P48" i="16" s="1"/>
  <c r="Q48" i="16" s="1"/>
  <c r="R48" i="16" s="1"/>
  <c r="S48" i="16" s="1"/>
  <c r="E50" i="16"/>
  <c r="F50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Q50" i="16" s="1"/>
  <c r="R50" i="16" s="1"/>
  <c r="S50" i="16" s="1"/>
  <c r="E51" i="16"/>
  <c r="F51" i="16" s="1"/>
  <c r="G51" i="16" s="1"/>
  <c r="H51" i="16" s="1"/>
  <c r="I51" i="16" s="1"/>
  <c r="J51" i="16" s="1"/>
  <c r="K51" i="16" s="1"/>
  <c r="L51" i="16" s="1"/>
  <c r="M51" i="16" s="1"/>
  <c r="N51" i="16" s="1"/>
  <c r="O51" i="16" s="1"/>
  <c r="P51" i="16" s="1"/>
  <c r="Q51" i="16" s="1"/>
  <c r="R51" i="16" s="1"/>
  <c r="S51" i="16" s="1"/>
  <c r="E53" i="16"/>
  <c r="F53" i="16" s="1"/>
  <c r="G53" i="16" s="1"/>
  <c r="H53" i="16" s="1"/>
  <c r="I53" i="16" s="1"/>
  <c r="J53" i="16" s="1"/>
  <c r="K53" i="16" s="1"/>
  <c r="L53" i="16" s="1"/>
  <c r="M53" i="16" s="1"/>
  <c r="N53" i="16" s="1"/>
  <c r="O53" i="16" s="1"/>
  <c r="P53" i="16" s="1"/>
  <c r="Q53" i="16" s="1"/>
  <c r="R53" i="16" s="1"/>
  <c r="S53" i="16" s="1"/>
  <c r="E54" i="16"/>
  <c r="F54" i="16" s="1"/>
  <c r="G54" i="16" s="1"/>
  <c r="H54" i="16" s="1"/>
  <c r="I54" i="16" s="1"/>
  <c r="J54" i="16" s="1"/>
  <c r="K54" i="16" s="1"/>
  <c r="L54" i="16" s="1"/>
  <c r="M54" i="16" s="1"/>
  <c r="N54" i="16" s="1"/>
  <c r="O54" i="16" s="1"/>
  <c r="P54" i="16" s="1"/>
  <c r="Q54" i="16" s="1"/>
  <c r="R54" i="16" s="1"/>
  <c r="S54" i="16" s="1"/>
  <c r="E55" i="16"/>
  <c r="F55" i="16" s="1"/>
  <c r="G55" i="16" s="1"/>
  <c r="H55" i="16" s="1"/>
  <c r="I55" i="16" s="1"/>
  <c r="J55" i="16" s="1"/>
  <c r="K55" i="16" s="1"/>
  <c r="L55" i="16" s="1"/>
  <c r="M55" i="16" s="1"/>
  <c r="N55" i="16" s="1"/>
  <c r="O55" i="16" s="1"/>
  <c r="P55" i="16" s="1"/>
  <c r="Q55" i="16" s="1"/>
  <c r="R55" i="16" s="1"/>
  <c r="S55" i="16" s="1"/>
  <c r="E57" i="16"/>
  <c r="F57" i="16" s="1"/>
  <c r="G57" i="16" s="1"/>
  <c r="H57" i="16" s="1"/>
  <c r="I57" i="16" s="1"/>
  <c r="J57" i="16" s="1"/>
  <c r="K57" i="16" s="1"/>
  <c r="L57" i="16" s="1"/>
  <c r="M57" i="16" s="1"/>
  <c r="N57" i="16" s="1"/>
  <c r="O57" i="16" s="1"/>
  <c r="P57" i="16" s="1"/>
  <c r="Q57" i="16" s="1"/>
  <c r="R57" i="16" s="1"/>
  <c r="S57" i="16" s="1"/>
  <c r="E58" i="16"/>
  <c r="F58" i="16" s="1"/>
  <c r="G58" i="16" s="1"/>
  <c r="H58" i="16" s="1"/>
  <c r="I58" i="16" s="1"/>
  <c r="J58" i="16" s="1"/>
  <c r="K58" i="16" s="1"/>
  <c r="L58" i="16" s="1"/>
  <c r="M58" i="16" s="1"/>
  <c r="N58" i="16" s="1"/>
  <c r="O58" i="16" s="1"/>
  <c r="P58" i="16" s="1"/>
  <c r="Q58" i="16" s="1"/>
  <c r="R58" i="16" s="1"/>
  <c r="S58" i="16" s="1"/>
  <c r="E59" i="16"/>
  <c r="F59" i="16" s="1"/>
  <c r="G59" i="16" s="1"/>
  <c r="H59" i="16" s="1"/>
  <c r="I59" i="16" s="1"/>
  <c r="J59" i="16" s="1"/>
  <c r="K59" i="16" s="1"/>
  <c r="L59" i="16" s="1"/>
  <c r="M59" i="16" s="1"/>
  <c r="N59" i="16" s="1"/>
  <c r="O59" i="16" s="1"/>
  <c r="P59" i="16" s="1"/>
  <c r="Q59" i="16" s="1"/>
  <c r="R59" i="16" s="1"/>
  <c r="S59" i="16" s="1"/>
  <c r="E41" i="16"/>
  <c r="F41" i="16" s="1"/>
  <c r="E31" i="16"/>
  <c r="F31" i="16" s="1"/>
  <c r="G31" i="16" s="1"/>
  <c r="H31" i="16" s="1"/>
  <c r="I31" i="16" s="1"/>
  <c r="J31" i="16" s="1"/>
  <c r="K31" i="16" s="1"/>
  <c r="L31" i="16" s="1"/>
  <c r="M31" i="16" s="1"/>
  <c r="N31" i="16" s="1"/>
  <c r="O31" i="16" s="1"/>
  <c r="P31" i="16" s="1"/>
  <c r="Q31" i="16" s="1"/>
  <c r="R31" i="16" s="1"/>
  <c r="S31" i="16" s="1"/>
  <c r="E32" i="16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P32" i="16" s="1"/>
  <c r="Q32" i="16" s="1"/>
  <c r="R32" i="16" s="1"/>
  <c r="S32" i="16" s="1"/>
  <c r="E33" i="16"/>
  <c r="F33" i="16" s="1"/>
  <c r="G33" i="16" s="1"/>
  <c r="H33" i="16" s="1"/>
  <c r="I33" i="16" s="1"/>
  <c r="J33" i="16" s="1"/>
  <c r="K33" i="16" s="1"/>
  <c r="L33" i="16" s="1"/>
  <c r="M33" i="16" s="1"/>
  <c r="N33" i="16" s="1"/>
  <c r="O33" i="16" s="1"/>
  <c r="P33" i="16" s="1"/>
  <c r="Q33" i="16" s="1"/>
  <c r="R33" i="16" s="1"/>
  <c r="S33" i="16" s="1"/>
  <c r="E30" i="16"/>
  <c r="F30" i="16" s="1"/>
  <c r="G30" i="16" s="1"/>
  <c r="H30" i="16" s="1"/>
  <c r="I30" i="16" s="1"/>
  <c r="J30" i="16" s="1"/>
  <c r="K30" i="16" s="1"/>
  <c r="L30" i="16" s="1"/>
  <c r="M30" i="16" s="1"/>
  <c r="N30" i="16" s="1"/>
  <c r="O30" i="16" s="1"/>
  <c r="P30" i="16" s="1"/>
  <c r="Q30" i="16" s="1"/>
  <c r="R30" i="16" s="1"/>
  <c r="S30" i="16" s="1"/>
  <c r="E24" i="16"/>
  <c r="F24" i="16" s="1"/>
  <c r="G24" i="16" s="1"/>
  <c r="H24" i="16" s="1"/>
  <c r="I24" i="16" s="1"/>
  <c r="J24" i="16" s="1"/>
  <c r="K24" i="16" s="1"/>
  <c r="L24" i="16" s="1"/>
  <c r="M24" i="16" s="1"/>
  <c r="N24" i="16" s="1"/>
  <c r="O24" i="16" s="1"/>
  <c r="P24" i="16" s="1"/>
  <c r="Q24" i="16" s="1"/>
  <c r="R24" i="16" s="1"/>
  <c r="S24" i="16" s="1"/>
  <c r="E25" i="16"/>
  <c r="F25" i="16" s="1"/>
  <c r="G25" i="16" s="1"/>
  <c r="H25" i="16" s="1"/>
  <c r="I25" i="16" s="1"/>
  <c r="J25" i="16" s="1"/>
  <c r="K25" i="16" s="1"/>
  <c r="L25" i="16" s="1"/>
  <c r="M25" i="16" s="1"/>
  <c r="N25" i="16" s="1"/>
  <c r="O25" i="16" s="1"/>
  <c r="P25" i="16" s="1"/>
  <c r="Q25" i="16" s="1"/>
  <c r="R25" i="16" s="1"/>
  <c r="S25" i="16" s="1"/>
  <c r="E26" i="16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E23" i="16"/>
  <c r="F23" i="16" s="1"/>
  <c r="G23" i="16" s="1"/>
  <c r="H23" i="16" s="1"/>
  <c r="I23" i="16" s="1"/>
  <c r="J23" i="16" s="1"/>
  <c r="K23" i="16" s="1"/>
  <c r="L23" i="16" s="1"/>
  <c r="M23" i="16" s="1"/>
  <c r="N23" i="16" s="1"/>
  <c r="O23" i="16" s="1"/>
  <c r="P23" i="16" s="1"/>
  <c r="Q23" i="16" s="1"/>
  <c r="R23" i="16" s="1"/>
  <c r="S23" i="16" s="1"/>
  <c r="E10" i="16"/>
  <c r="F10" i="16" s="1"/>
  <c r="G10" i="16" s="1"/>
  <c r="H10" i="16" s="1"/>
  <c r="I10" i="16" s="1"/>
  <c r="J10" i="16" s="1"/>
  <c r="K10" i="16" s="1"/>
  <c r="L10" i="16" s="1"/>
  <c r="M10" i="16" s="1"/>
  <c r="N10" i="16" s="1"/>
  <c r="O10" i="16" s="1"/>
  <c r="P10" i="16" s="1"/>
  <c r="Q10" i="16" s="1"/>
  <c r="R10" i="16" s="1"/>
  <c r="S10" i="16" s="1"/>
  <c r="E11" i="16"/>
  <c r="F11" i="16" s="1"/>
  <c r="G11" i="16" s="1"/>
  <c r="H11" i="16" s="1"/>
  <c r="I11" i="16" s="1"/>
  <c r="J11" i="16" s="1"/>
  <c r="K11" i="16" s="1"/>
  <c r="L11" i="16" s="1"/>
  <c r="M11" i="16" s="1"/>
  <c r="N11" i="16" s="1"/>
  <c r="O11" i="16" s="1"/>
  <c r="P11" i="16" s="1"/>
  <c r="Q11" i="16" s="1"/>
  <c r="R11" i="16" s="1"/>
  <c r="S11" i="16" s="1"/>
  <c r="E13" i="16"/>
  <c r="F13" i="16" s="1"/>
  <c r="G13" i="16" s="1"/>
  <c r="H13" i="16" s="1"/>
  <c r="I13" i="16" s="1"/>
  <c r="J13" i="16" s="1"/>
  <c r="K13" i="16" s="1"/>
  <c r="L13" i="16" s="1"/>
  <c r="M13" i="16" s="1"/>
  <c r="N13" i="16" s="1"/>
  <c r="O13" i="16" s="1"/>
  <c r="P13" i="16" s="1"/>
  <c r="Q13" i="16" s="1"/>
  <c r="R13" i="16" s="1"/>
  <c r="S13" i="16" s="1"/>
  <c r="D48" i="17" l="1"/>
  <c r="E48" i="17" s="1"/>
  <c r="F48" i="17" s="1"/>
  <c r="G48" i="17" s="1"/>
  <c r="H48" i="17" s="1"/>
  <c r="I48" i="17" s="1"/>
  <c r="J48" i="17" s="1"/>
  <c r="K48" i="17" s="1"/>
  <c r="L48" i="17" s="1"/>
  <c r="M48" i="17" s="1"/>
  <c r="N48" i="17" s="1"/>
  <c r="O48" i="17" s="1"/>
  <c r="P48" i="17" s="1"/>
  <c r="Q48" i="17" s="1"/>
  <c r="D13" i="17"/>
  <c r="E13" i="17" s="1"/>
  <c r="F13" i="17" s="1"/>
  <c r="G13" i="17" s="1"/>
  <c r="H13" i="17" s="1"/>
  <c r="I13" i="17" s="1"/>
  <c r="J13" i="17" s="1"/>
  <c r="K13" i="17" s="1"/>
  <c r="L13" i="17" s="1"/>
  <c r="M13" i="17" s="1"/>
  <c r="N13" i="17" s="1"/>
  <c r="O13" i="17" s="1"/>
  <c r="P13" i="17" s="1"/>
  <c r="Q13" i="17" s="1"/>
  <c r="D11" i="17"/>
  <c r="E11" i="17" s="1"/>
  <c r="F11" i="17" s="1"/>
  <c r="G11" i="17" s="1"/>
  <c r="H11" i="17" s="1"/>
  <c r="I11" i="17" s="1"/>
  <c r="J11" i="17" s="1"/>
  <c r="K11" i="17" s="1"/>
  <c r="L11" i="17" s="1"/>
  <c r="M11" i="17" s="1"/>
  <c r="N11" i="17" s="1"/>
  <c r="O11" i="17" s="1"/>
  <c r="P11" i="17" s="1"/>
  <c r="Q11" i="17" s="1"/>
  <c r="D10" i="17"/>
  <c r="E10" i="17" s="1"/>
  <c r="F10" i="17" s="1"/>
  <c r="G10" i="17" s="1"/>
  <c r="H10" i="17" s="1"/>
  <c r="I10" i="17" s="1"/>
  <c r="J10" i="17" s="1"/>
  <c r="K10" i="17" s="1"/>
  <c r="L10" i="17" s="1"/>
  <c r="M10" i="17" s="1"/>
  <c r="N10" i="17" s="1"/>
  <c r="O10" i="17" s="1"/>
  <c r="P10" i="17" s="1"/>
  <c r="Q10" i="17" s="1"/>
  <c r="C27" i="17"/>
  <c r="D99" i="17"/>
  <c r="E99" i="17" s="1"/>
  <c r="F99" i="17" s="1"/>
  <c r="F27" i="17"/>
  <c r="G23" i="17"/>
  <c r="D30" i="17"/>
  <c r="E27" i="17"/>
  <c r="D27" i="17"/>
  <c r="D41" i="17"/>
  <c r="G100" i="16"/>
  <c r="G41" i="16"/>
  <c r="F27" i="16"/>
  <c r="E27" i="16"/>
  <c r="G99" i="17" l="1"/>
  <c r="E30" i="17"/>
  <c r="E41" i="17"/>
  <c r="G27" i="17"/>
  <c r="H23" i="17"/>
  <c r="H41" i="16"/>
  <c r="H100" i="16"/>
  <c r="G27" i="16"/>
  <c r="F41" i="17" l="1"/>
  <c r="F30" i="17"/>
  <c r="H99" i="17"/>
  <c r="H27" i="17"/>
  <c r="I23" i="17"/>
  <c r="I100" i="16"/>
  <c r="I41" i="16"/>
  <c r="H27" i="16"/>
  <c r="I99" i="17" l="1"/>
  <c r="G30" i="17"/>
  <c r="G41" i="17"/>
  <c r="I27" i="17"/>
  <c r="J23" i="17"/>
  <c r="J100" i="16"/>
  <c r="J41" i="16"/>
  <c r="I27" i="16"/>
  <c r="K23" i="17" l="1"/>
  <c r="J27" i="17"/>
  <c r="H30" i="17"/>
  <c r="H41" i="17"/>
  <c r="J99" i="17"/>
  <c r="K100" i="16"/>
  <c r="K41" i="16"/>
  <c r="J27" i="16"/>
  <c r="I30" i="17" l="1"/>
  <c r="I41" i="17"/>
  <c r="L23" i="17"/>
  <c r="K27" i="17"/>
  <c r="K99" i="17"/>
  <c r="L100" i="16"/>
  <c r="L41" i="16"/>
  <c r="K27" i="16"/>
  <c r="M23" i="17" l="1"/>
  <c r="L27" i="17"/>
  <c r="J41" i="17"/>
  <c r="L99" i="17"/>
  <c r="J30" i="17"/>
  <c r="M41" i="16"/>
  <c r="M100" i="16"/>
  <c r="L27" i="16"/>
  <c r="M27" i="17" l="1"/>
  <c r="N23" i="17"/>
  <c r="K30" i="17"/>
  <c r="M99" i="17"/>
  <c r="K41" i="17"/>
  <c r="N100" i="16"/>
  <c r="N41" i="16"/>
  <c r="M27" i="16"/>
  <c r="L41" i="17" l="1"/>
  <c r="L30" i="17"/>
  <c r="N27" i="17"/>
  <c r="O23" i="17"/>
  <c r="N99" i="17"/>
  <c r="O41" i="16"/>
  <c r="O100" i="16"/>
  <c r="N27" i="16"/>
  <c r="O27" i="17" l="1"/>
  <c r="P23" i="17"/>
  <c r="M41" i="17"/>
  <c r="M30" i="17"/>
  <c r="O99" i="17"/>
  <c r="P41" i="16"/>
  <c r="P100" i="16"/>
  <c r="O27" i="16"/>
  <c r="N30" i="17" l="1"/>
  <c r="N41" i="17"/>
  <c r="P99" i="17"/>
  <c r="P27" i="17"/>
  <c r="Q23" i="17"/>
  <c r="Q27" i="17" s="1"/>
  <c r="Q100" i="16"/>
  <c r="Q41" i="16"/>
  <c r="P27" i="16"/>
  <c r="O41" i="17" l="1"/>
  <c r="O30" i="17"/>
  <c r="Q99" i="17"/>
  <c r="R100" i="16"/>
  <c r="R41" i="16"/>
  <c r="Q27" i="16"/>
  <c r="P30" i="17" l="1"/>
  <c r="P41" i="17"/>
  <c r="S41" i="16"/>
  <c r="S100" i="16"/>
  <c r="S27" i="16"/>
  <c r="R27" i="16"/>
  <c r="Q30" i="17" l="1"/>
  <c r="Q41" i="17"/>
  <c r="K113" i="22" l="1"/>
  <c r="I113" i="22"/>
  <c r="G113" i="22"/>
  <c r="E113" i="22"/>
  <c r="C113" i="22"/>
  <c r="E101" i="22"/>
  <c r="I101" i="22"/>
  <c r="K101" i="22"/>
  <c r="G101" i="22"/>
  <c r="C101" i="22"/>
  <c r="K74" i="22"/>
  <c r="I74" i="22"/>
  <c r="G74" i="22"/>
  <c r="E74" i="22"/>
  <c r="C74" i="22"/>
  <c r="K37" i="22"/>
  <c r="I37" i="22"/>
  <c r="G37" i="22"/>
  <c r="E37" i="22"/>
  <c r="C37" i="22"/>
  <c r="O29" i="22"/>
  <c r="M29" i="22"/>
  <c r="K29" i="22"/>
  <c r="I29" i="22"/>
  <c r="G29" i="22"/>
  <c r="E29" i="22"/>
  <c r="C29" i="22"/>
  <c r="R29" i="22" l="1"/>
  <c r="Q29" i="22"/>
  <c r="S29" i="22"/>
  <c r="T29" i="22" s="1"/>
  <c r="E115" i="22"/>
  <c r="I115" i="22"/>
  <c r="G115" i="22"/>
  <c r="C115" i="22"/>
  <c r="K14" i="22" l="1"/>
  <c r="I14" i="22"/>
  <c r="G14" i="22"/>
  <c r="E14" i="22"/>
  <c r="C14" i="22"/>
  <c r="D18" i="22" l="1"/>
  <c r="D17" i="22"/>
  <c r="C21" i="22"/>
  <c r="E21" i="22"/>
  <c r="E40" i="22" s="1"/>
  <c r="F18" i="22"/>
  <c r="F17" i="22"/>
  <c r="H17" i="22"/>
  <c r="H18" i="22"/>
  <c r="G21" i="22"/>
  <c r="G40" i="22" s="1"/>
  <c r="J18" i="22"/>
  <c r="J17" i="22"/>
  <c r="I21" i="22"/>
  <c r="I40" i="22" s="1"/>
  <c r="L18" i="22"/>
  <c r="L17" i="22"/>
  <c r="K19" i="22"/>
  <c r="K21" i="22" s="1"/>
  <c r="C40" i="22"/>
  <c r="K40" i="22" l="1"/>
  <c r="K115" i="22" s="1"/>
  <c r="G236" i="22"/>
  <c r="E236" i="22"/>
  <c r="C236" i="22"/>
  <c r="I236" i="22"/>
  <c r="K236" i="22" l="1"/>
  <c r="S70" i="22"/>
  <c r="T70" i="22" s="1"/>
  <c r="E66" i="16"/>
  <c r="F66" i="16" s="1"/>
  <c r="G66" i="16" s="1"/>
  <c r="H66" i="16" s="1"/>
  <c r="I66" i="16" s="1"/>
  <c r="J66" i="16" s="1"/>
  <c r="K66" i="16" s="1"/>
  <c r="L66" i="16" s="1"/>
  <c r="M66" i="16" s="1"/>
  <c r="N66" i="16" s="1"/>
  <c r="O66" i="16" s="1"/>
  <c r="P66" i="16" s="1"/>
  <c r="Q66" i="16" s="1"/>
  <c r="R66" i="16" s="1"/>
  <c r="S66" i="16" s="1"/>
  <c r="Q73" i="22"/>
  <c r="C68" i="17"/>
  <c r="D68" i="17" s="1"/>
  <c r="E68" i="17" s="1"/>
  <c r="F68" i="17" s="1"/>
  <c r="G68" i="17" s="1"/>
  <c r="H68" i="17" s="1"/>
  <c r="I68" i="17" s="1"/>
  <c r="J68" i="17" s="1"/>
  <c r="K68" i="17" s="1"/>
  <c r="L68" i="17" s="1"/>
  <c r="M68" i="17" s="1"/>
  <c r="N68" i="17" s="1"/>
  <c r="O68" i="17" s="1"/>
  <c r="P68" i="17" s="1"/>
  <c r="Q68" i="17" s="1"/>
  <c r="S71" i="22"/>
  <c r="T71" i="22" s="1"/>
  <c r="E67" i="16"/>
  <c r="F67" i="16" s="1"/>
  <c r="G67" i="16" s="1"/>
  <c r="H67" i="16" s="1"/>
  <c r="I67" i="16" s="1"/>
  <c r="J67" i="16" s="1"/>
  <c r="K67" i="16" s="1"/>
  <c r="L67" i="16" s="1"/>
  <c r="M67" i="16" s="1"/>
  <c r="N67" i="16" s="1"/>
  <c r="O67" i="16" s="1"/>
  <c r="P67" i="16" s="1"/>
  <c r="Q67" i="16" s="1"/>
  <c r="R67" i="16" s="1"/>
  <c r="S67" i="16" s="1"/>
  <c r="Q71" i="22"/>
  <c r="C66" i="17"/>
  <c r="D66" i="17" s="1"/>
  <c r="E66" i="17" s="1"/>
  <c r="F66" i="17" s="1"/>
  <c r="G66" i="17" s="1"/>
  <c r="H66" i="17" s="1"/>
  <c r="I66" i="17" s="1"/>
  <c r="J66" i="17" s="1"/>
  <c r="K66" i="17" s="1"/>
  <c r="L66" i="17" s="1"/>
  <c r="M66" i="17" s="1"/>
  <c r="N66" i="17" s="1"/>
  <c r="O66" i="17" s="1"/>
  <c r="P66" i="17" s="1"/>
  <c r="Q66" i="17" s="1"/>
  <c r="Q70" i="22"/>
  <c r="C65" i="17"/>
  <c r="D65" i="17" s="1"/>
  <c r="E65" i="17" s="1"/>
  <c r="F65" i="17" s="1"/>
  <c r="G65" i="17" s="1"/>
  <c r="H65" i="17" s="1"/>
  <c r="I65" i="17" s="1"/>
  <c r="J65" i="17" s="1"/>
  <c r="K65" i="17" s="1"/>
  <c r="L65" i="17" s="1"/>
  <c r="M65" i="17" s="1"/>
  <c r="N65" i="17" s="1"/>
  <c r="O65" i="17" s="1"/>
  <c r="P65" i="17" s="1"/>
  <c r="Q65" i="17" s="1"/>
  <c r="S72" i="22"/>
  <c r="T72" i="22" s="1"/>
  <c r="E68" i="16"/>
  <c r="F68" i="16" s="1"/>
  <c r="G68" i="16" s="1"/>
  <c r="H68" i="16" s="1"/>
  <c r="I68" i="16" s="1"/>
  <c r="J68" i="16" s="1"/>
  <c r="K68" i="16" s="1"/>
  <c r="L68" i="16" s="1"/>
  <c r="M68" i="16" s="1"/>
  <c r="N68" i="16" s="1"/>
  <c r="O68" i="16" s="1"/>
  <c r="P68" i="16" s="1"/>
  <c r="Q68" i="16" s="1"/>
  <c r="R68" i="16" s="1"/>
  <c r="S68" i="16" s="1"/>
  <c r="Q68" i="22"/>
  <c r="C63" i="17"/>
  <c r="Q72" i="22"/>
  <c r="C67" i="17"/>
  <c r="D67" i="17" s="1"/>
  <c r="E67" i="17" s="1"/>
  <c r="F67" i="17" s="1"/>
  <c r="G67" i="17" s="1"/>
  <c r="H67" i="17" s="1"/>
  <c r="I67" i="17" s="1"/>
  <c r="J67" i="17" s="1"/>
  <c r="K67" i="17" s="1"/>
  <c r="L67" i="17" s="1"/>
  <c r="M67" i="17" s="1"/>
  <c r="N67" i="17" s="1"/>
  <c r="O67" i="17" s="1"/>
  <c r="P67" i="17" s="1"/>
  <c r="Q67" i="17" s="1"/>
  <c r="S73" i="22" l="1"/>
  <c r="T73" i="22" s="1"/>
  <c r="E69" i="16"/>
  <c r="F69" i="16" s="1"/>
  <c r="G69" i="16" s="1"/>
  <c r="H69" i="16" s="1"/>
  <c r="I69" i="16" s="1"/>
  <c r="J69" i="16" s="1"/>
  <c r="K69" i="16" s="1"/>
  <c r="L69" i="16" s="1"/>
  <c r="M69" i="16" s="1"/>
  <c r="N69" i="16" s="1"/>
  <c r="O69" i="16" s="1"/>
  <c r="P69" i="16" s="1"/>
  <c r="Q69" i="16" s="1"/>
  <c r="R69" i="16" s="1"/>
  <c r="S69" i="16" s="1"/>
  <c r="S68" i="22"/>
  <c r="T68" i="22" s="1"/>
  <c r="E64" i="16"/>
  <c r="O74" i="22"/>
  <c r="S69" i="22"/>
  <c r="T69" i="22" s="1"/>
  <c r="E65" i="16"/>
  <c r="F65" i="16" s="1"/>
  <c r="G65" i="16" s="1"/>
  <c r="H65" i="16" s="1"/>
  <c r="I65" i="16" s="1"/>
  <c r="J65" i="16" s="1"/>
  <c r="K65" i="16" s="1"/>
  <c r="L65" i="16" s="1"/>
  <c r="M65" i="16" s="1"/>
  <c r="N65" i="16" s="1"/>
  <c r="O65" i="16" s="1"/>
  <c r="P65" i="16" s="1"/>
  <c r="Q65" i="16" s="1"/>
  <c r="R65" i="16" s="1"/>
  <c r="S65" i="16" s="1"/>
  <c r="D63" i="17"/>
  <c r="S74" i="22" l="1"/>
  <c r="T74" i="22" s="1"/>
  <c r="F64" i="16"/>
  <c r="E70" i="16"/>
  <c r="E63" i="17"/>
  <c r="F63" i="17" l="1"/>
  <c r="G64" i="16"/>
  <c r="F70" i="16"/>
  <c r="G70" i="16" l="1"/>
  <c r="H64" i="16"/>
  <c r="G63" i="17"/>
  <c r="H63" i="17" l="1"/>
  <c r="I64" i="16"/>
  <c r="H70" i="16"/>
  <c r="J64" i="16" l="1"/>
  <c r="I70" i="16"/>
  <c r="I63" i="17"/>
  <c r="J63" i="17" l="1"/>
  <c r="K64" i="16"/>
  <c r="J70" i="16"/>
  <c r="L64" i="16" l="1"/>
  <c r="K70" i="16"/>
  <c r="K63" i="17"/>
  <c r="L63" i="17" l="1"/>
  <c r="M64" i="16"/>
  <c r="L70" i="16"/>
  <c r="N64" i="16" l="1"/>
  <c r="M70" i="16"/>
  <c r="M63" i="17"/>
  <c r="O148" i="37"/>
  <c r="S149" i="37" s="1"/>
  <c r="D27" i="8"/>
  <c r="AA7" i="40" s="1"/>
  <c r="E180" i="37"/>
  <c r="E170" i="37"/>
  <c r="P10" i="8"/>
  <c r="O10" i="8"/>
  <c r="E181" i="37" l="1"/>
  <c r="M89" i="22" s="1"/>
  <c r="X136" i="37"/>
  <c r="I89" i="7"/>
  <c r="AD89" i="7" s="1"/>
  <c r="D14" i="8"/>
  <c r="P6" i="8"/>
  <c r="V160" i="37"/>
  <c r="V158" i="37"/>
  <c r="V156" i="37"/>
  <c r="V166" i="37"/>
  <c r="V169" i="37"/>
  <c r="V157" i="37"/>
  <c r="V154" i="37"/>
  <c r="V167" i="37"/>
  <c r="V161" i="37"/>
  <c r="G10" i="8"/>
  <c r="V155" i="37"/>
  <c r="V168" i="37"/>
  <c r="O6" i="8"/>
  <c r="G181" i="37"/>
  <c r="N63" i="17"/>
  <c r="O64" i="16"/>
  <c r="N70" i="16"/>
  <c r="G9" i="8"/>
  <c r="G12" i="8"/>
  <c r="H22" i="35"/>
  <c r="H21" i="35"/>
  <c r="E13" i="36"/>
  <c r="B42" i="36"/>
  <c r="C24" i="36"/>
  <c r="C27" i="36"/>
  <c r="C28" i="36"/>
  <c r="C15" i="36"/>
  <c r="H17" i="35"/>
  <c r="D35" i="35"/>
  <c r="D26" i="35"/>
  <c r="D19" i="35"/>
  <c r="D9" i="35"/>
  <c r="H8" i="35"/>
  <c r="H9" i="35"/>
  <c r="H7" i="35"/>
  <c r="D17" i="35"/>
  <c r="D15" i="35"/>
  <c r="D31" i="35"/>
  <c r="D32" i="35"/>
  <c r="D33" i="35"/>
  <c r="D34" i="35"/>
  <c r="D24" i="35"/>
  <c r="D25" i="35"/>
  <c r="D23" i="35"/>
  <c r="D14" i="35"/>
  <c r="D16" i="35"/>
  <c r="D18" i="35"/>
  <c r="D13" i="35"/>
  <c r="D8" i="35"/>
  <c r="E48" i="24"/>
  <c r="D7" i="35"/>
  <c r="F11" i="4"/>
  <c r="E12" i="4"/>
  <c r="E9" i="4"/>
  <c r="E5" i="4"/>
  <c r="E6" i="4"/>
  <c r="E7" i="4"/>
  <c r="F7" i="4"/>
  <c r="F6" i="24"/>
  <c r="F10" i="24"/>
  <c r="E8" i="24"/>
  <c r="E7" i="24"/>
  <c r="E6" i="24"/>
  <c r="E5" i="24"/>
  <c r="E4" i="24"/>
  <c r="R89" i="22" l="1"/>
  <c r="R48" i="22"/>
  <c r="O89" i="22"/>
  <c r="M78" i="22"/>
  <c r="E77" i="16"/>
  <c r="F77" i="16" s="1"/>
  <c r="G77" i="16" s="1"/>
  <c r="H77" i="16" s="1"/>
  <c r="I77" i="16" s="1"/>
  <c r="J77" i="16" s="1"/>
  <c r="K77" i="16" s="1"/>
  <c r="L77" i="16" s="1"/>
  <c r="M77" i="16" s="1"/>
  <c r="N77" i="16" s="1"/>
  <c r="O77" i="16" s="1"/>
  <c r="P77" i="16" s="1"/>
  <c r="Q77" i="16" s="1"/>
  <c r="R77" i="16" s="1"/>
  <c r="S77" i="16" s="1"/>
  <c r="O78" i="22"/>
  <c r="R49" i="22"/>
  <c r="C115" i="41"/>
  <c r="D115" i="41" s="1"/>
  <c r="AA115" i="41" s="1"/>
  <c r="AB115" i="41" s="1"/>
  <c r="J89" i="7"/>
  <c r="L89" i="7"/>
  <c r="I66" i="7"/>
  <c r="B49" i="34" s="1"/>
  <c r="I74" i="7"/>
  <c r="B57" i="34" s="1"/>
  <c r="I46" i="7"/>
  <c r="J41" i="7"/>
  <c r="E18" i="35"/>
  <c r="E19" i="35"/>
  <c r="E32" i="35"/>
  <c r="Q9" i="22"/>
  <c r="M8" i="22"/>
  <c r="Q8" i="22" s="1"/>
  <c r="R8" i="22" s="1"/>
  <c r="J104" i="7"/>
  <c r="J81" i="7"/>
  <c r="J56" i="7"/>
  <c r="J67" i="7"/>
  <c r="J32" i="7"/>
  <c r="J40" i="7"/>
  <c r="J20" i="7"/>
  <c r="J75" i="7"/>
  <c r="J31" i="7"/>
  <c r="J105" i="7"/>
  <c r="J82" i="7"/>
  <c r="J57" i="7"/>
  <c r="J68" i="7"/>
  <c r="J33" i="7"/>
  <c r="J42" i="7"/>
  <c r="J24" i="7"/>
  <c r="J61" i="7"/>
  <c r="J47" i="7"/>
  <c r="J39" i="7"/>
  <c r="J107" i="7"/>
  <c r="J83" i="7"/>
  <c r="J58" i="7"/>
  <c r="J69" i="7"/>
  <c r="J34" i="7"/>
  <c r="J43" i="7"/>
  <c r="J7" i="7"/>
  <c r="J98" i="7"/>
  <c r="J37" i="7"/>
  <c r="J49" i="7"/>
  <c r="J108" i="7"/>
  <c r="J84" i="7"/>
  <c r="J59" i="7"/>
  <c r="J70" i="7"/>
  <c r="J35" i="7"/>
  <c r="J44" i="7"/>
  <c r="J4" i="7"/>
  <c r="J88" i="7"/>
  <c r="J55" i="7"/>
  <c r="J96" i="7"/>
  <c r="J87" i="7"/>
  <c r="J60" i="7"/>
  <c r="J71" i="7"/>
  <c r="J36" i="7"/>
  <c r="J45" i="7"/>
  <c r="J99" i="7"/>
  <c r="J90" i="7"/>
  <c r="J54" i="7"/>
  <c r="J38" i="7"/>
  <c r="J48" i="7"/>
  <c r="J115" i="7"/>
  <c r="J80" i="7"/>
  <c r="I79" i="7"/>
  <c r="B29" i="34" s="1"/>
  <c r="I23" i="7"/>
  <c r="R108" i="22"/>
  <c r="J5" i="7"/>
  <c r="J106" i="7"/>
  <c r="M234" i="22"/>
  <c r="O234" i="22"/>
  <c r="I114" i="7" s="1"/>
  <c r="E13" i="35"/>
  <c r="E33" i="35"/>
  <c r="E9" i="35"/>
  <c r="E14" i="35"/>
  <c r="E15" i="35"/>
  <c r="E35" i="35"/>
  <c r="E23" i="35"/>
  <c r="E17" i="35"/>
  <c r="I17" i="35"/>
  <c r="E25" i="35"/>
  <c r="I7" i="35"/>
  <c r="E24" i="35"/>
  <c r="I9" i="35"/>
  <c r="I21" i="35"/>
  <c r="E7" i="35"/>
  <c r="E8" i="35"/>
  <c r="E34" i="35"/>
  <c r="I8" i="35"/>
  <c r="I22" i="35"/>
  <c r="E16" i="35"/>
  <c r="F96" i="37"/>
  <c r="H20" i="35" s="1"/>
  <c r="I15" i="35"/>
  <c r="I16" i="35"/>
  <c r="I14" i="35"/>
  <c r="I10" i="35"/>
  <c r="E31" i="35"/>
  <c r="E26" i="35"/>
  <c r="E14" i="36"/>
  <c r="E15" i="36" s="1"/>
  <c r="E16" i="36" s="1"/>
  <c r="E17" i="36" s="1"/>
  <c r="E18" i="36" s="1"/>
  <c r="P64" i="16"/>
  <c r="O70" i="16"/>
  <c r="O63" i="17"/>
  <c r="Q50" i="22"/>
  <c r="C9" i="17"/>
  <c r="D9" i="17" s="1"/>
  <c r="E9" i="17" s="1"/>
  <c r="F9" i="17" s="1"/>
  <c r="G9" i="17" s="1"/>
  <c r="H9" i="17" s="1"/>
  <c r="I9" i="17" s="1"/>
  <c r="J9" i="17" s="1"/>
  <c r="K9" i="17" s="1"/>
  <c r="L9" i="17" s="1"/>
  <c r="Q48" i="22"/>
  <c r="C29" i="36"/>
  <c r="H11" i="35"/>
  <c r="I11" i="35" s="1"/>
  <c r="D10" i="35"/>
  <c r="D27" i="35"/>
  <c r="E27" i="35" s="1"/>
  <c r="D20" i="35"/>
  <c r="E20" i="35" s="1"/>
  <c r="AD46" i="7" l="1"/>
  <c r="R46" i="7"/>
  <c r="R55" i="22"/>
  <c r="Q55" i="22"/>
  <c r="S82" i="22"/>
  <c r="T82" i="22" s="1"/>
  <c r="R82" i="22"/>
  <c r="Q82" i="22"/>
  <c r="C76" i="17"/>
  <c r="D76" i="17" s="1"/>
  <c r="E76" i="17" s="1"/>
  <c r="F76" i="17" s="1"/>
  <c r="G76" i="17" s="1"/>
  <c r="H76" i="17" s="1"/>
  <c r="I76" i="17" s="1"/>
  <c r="J76" i="17" s="1"/>
  <c r="K76" i="17" s="1"/>
  <c r="L76" i="17" s="1"/>
  <c r="M76" i="17" s="1"/>
  <c r="N76" i="17" s="1"/>
  <c r="O76" i="17" s="1"/>
  <c r="P76" i="17" s="1"/>
  <c r="Q76" i="17" s="1"/>
  <c r="Q49" i="22"/>
  <c r="O106" i="22"/>
  <c r="O110" i="22"/>
  <c r="M106" i="22"/>
  <c r="M110" i="22"/>
  <c r="Z55" i="7"/>
  <c r="C8" i="17"/>
  <c r="D8" i="17" s="1"/>
  <c r="E8" i="17" s="1"/>
  <c r="F8" i="17" s="1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Q78" i="22"/>
  <c r="R78" i="22"/>
  <c r="S78" i="22"/>
  <c r="T78" i="22" s="1"/>
  <c r="S48" i="22"/>
  <c r="T48" i="22"/>
  <c r="S49" i="22"/>
  <c r="T49" i="22" s="1"/>
  <c r="S55" i="22"/>
  <c r="T55" i="22" s="1"/>
  <c r="S50" i="22"/>
  <c r="T50" i="22" s="1"/>
  <c r="S9" i="22"/>
  <c r="T9" i="22" s="1"/>
  <c r="J114" i="7"/>
  <c r="C9" i="43"/>
  <c r="C101" i="41"/>
  <c r="D101" i="41" s="1"/>
  <c r="AA101" i="41" s="1"/>
  <c r="AB101" i="41" s="1"/>
  <c r="J74" i="7"/>
  <c r="L74" i="7"/>
  <c r="AO11" i="40"/>
  <c r="S36" i="22"/>
  <c r="T36" i="22" s="1"/>
  <c r="E34" i="16"/>
  <c r="F34" i="16" s="1"/>
  <c r="G34" i="16" s="1"/>
  <c r="H34" i="16" s="1"/>
  <c r="I34" i="16" s="1"/>
  <c r="J34" i="16" s="1"/>
  <c r="K34" i="16" s="1"/>
  <c r="L34" i="16" s="1"/>
  <c r="M34" i="16" s="1"/>
  <c r="N34" i="16" s="1"/>
  <c r="O34" i="16" s="1"/>
  <c r="P34" i="16" s="1"/>
  <c r="Q34" i="16" s="1"/>
  <c r="R34" i="16" s="1"/>
  <c r="S34" i="16" s="1"/>
  <c r="O37" i="22"/>
  <c r="Q108" i="22"/>
  <c r="C102" i="17"/>
  <c r="D102" i="17" s="1"/>
  <c r="E102" i="17" s="1"/>
  <c r="F102" i="17" s="1"/>
  <c r="G102" i="17" s="1"/>
  <c r="H102" i="17" s="1"/>
  <c r="I102" i="17" s="1"/>
  <c r="J102" i="17" s="1"/>
  <c r="K102" i="17" s="1"/>
  <c r="L102" i="17" s="1"/>
  <c r="M102" i="17" s="1"/>
  <c r="N102" i="17" s="1"/>
  <c r="O102" i="17" s="1"/>
  <c r="P102" i="17" s="1"/>
  <c r="Q102" i="17" s="1"/>
  <c r="R23" i="7"/>
  <c r="N23" i="7" s="1"/>
  <c r="C53" i="41"/>
  <c r="D53" i="41" s="1"/>
  <c r="AA53" i="41" s="1"/>
  <c r="AB53" i="41" s="1"/>
  <c r="J23" i="7"/>
  <c r="C75" i="41"/>
  <c r="J46" i="7"/>
  <c r="J66" i="7"/>
  <c r="C93" i="41"/>
  <c r="X93" i="41" s="1"/>
  <c r="AA93" i="41" s="1"/>
  <c r="AB93" i="41" s="1"/>
  <c r="L66" i="7"/>
  <c r="M74" i="22"/>
  <c r="Q69" i="22"/>
  <c r="C64" i="17"/>
  <c r="R79" i="7"/>
  <c r="N79" i="7" s="1"/>
  <c r="C105" i="41"/>
  <c r="D105" i="41" s="1"/>
  <c r="AA105" i="41" s="1"/>
  <c r="AB105" i="41" s="1"/>
  <c r="J79" i="7"/>
  <c r="E10" i="35"/>
  <c r="F16" i="24"/>
  <c r="E9" i="16"/>
  <c r="F9" i="16" s="1"/>
  <c r="G9" i="16" s="1"/>
  <c r="H9" i="16" s="1"/>
  <c r="I9" i="16" s="1"/>
  <c r="J9" i="16" s="1"/>
  <c r="K9" i="16" s="1"/>
  <c r="L9" i="16" s="1"/>
  <c r="M9" i="16" s="1"/>
  <c r="N9" i="16" s="1"/>
  <c r="O9" i="16" s="1"/>
  <c r="P9" i="16" s="1"/>
  <c r="Q9" i="16" s="1"/>
  <c r="R9" i="16" s="1"/>
  <c r="S9" i="16" s="1"/>
  <c r="E49" i="40"/>
  <c r="E70" i="40"/>
  <c r="E91" i="40"/>
  <c r="E112" i="16"/>
  <c r="F112" i="16" s="1"/>
  <c r="G112" i="16" s="1"/>
  <c r="H112" i="16" s="1"/>
  <c r="I112" i="16" s="1"/>
  <c r="J112" i="16" s="1"/>
  <c r="K112" i="16" s="1"/>
  <c r="L112" i="16" s="1"/>
  <c r="M112" i="16" s="1"/>
  <c r="N112" i="16" s="1"/>
  <c r="O112" i="16" s="1"/>
  <c r="P112" i="16" s="1"/>
  <c r="Q112" i="16" s="1"/>
  <c r="R112" i="16" s="1"/>
  <c r="S112" i="16" s="1"/>
  <c r="C9" i="36"/>
  <c r="C115" i="17"/>
  <c r="D115" i="17" s="1"/>
  <c r="E115" i="17" s="1"/>
  <c r="F115" i="17" s="1"/>
  <c r="G115" i="17" s="1"/>
  <c r="H115" i="17" s="1"/>
  <c r="I115" i="17" s="1"/>
  <c r="J115" i="17" s="1"/>
  <c r="K115" i="17" s="1"/>
  <c r="L115" i="17" s="1"/>
  <c r="M115" i="17" s="1"/>
  <c r="N115" i="17" s="1"/>
  <c r="O115" i="17" s="1"/>
  <c r="P115" i="17" s="1"/>
  <c r="Q115" i="17" s="1"/>
  <c r="F7" i="36"/>
  <c r="E19" i="36"/>
  <c r="Q89" i="22"/>
  <c r="S89" i="22"/>
  <c r="T89" i="22" s="1"/>
  <c r="P63" i="17"/>
  <c r="Q64" i="16"/>
  <c r="P70" i="16"/>
  <c r="E52" i="16"/>
  <c r="F52" i="16" s="1"/>
  <c r="G52" i="16" s="1"/>
  <c r="H52" i="16" s="1"/>
  <c r="I52" i="16" s="1"/>
  <c r="J52" i="16" s="1"/>
  <c r="K52" i="16" s="1"/>
  <c r="L52" i="16" s="1"/>
  <c r="M52" i="16" s="1"/>
  <c r="N52" i="16" s="1"/>
  <c r="O52" i="16" s="1"/>
  <c r="P52" i="16" s="1"/>
  <c r="Q52" i="16" s="1"/>
  <c r="R52" i="16" s="1"/>
  <c r="S52" i="16" s="1"/>
  <c r="E47" i="16"/>
  <c r="F47" i="16" s="1"/>
  <c r="G47" i="16" s="1"/>
  <c r="H47" i="16" s="1"/>
  <c r="I47" i="16" s="1"/>
  <c r="J47" i="16" s="1"/>
  <c r="K47" i="16" s="1"/>
  <c r="L47" i="16" s="1"/>
  <c r="M47" i="16" s="1"/>
  <c r="N47" i="16" s="1"/>
  <c r="O47" i="16" s="1"/>
  <c r="P47" i="16" s="1"/>
  <c r="Q47" i="16" s="1"/>
  <c r="R47" i="16" s="1"/>
  <c r="S47" i="16" s="1"/>
  <c r="E84" i="16"/>
  <c r="F84" i="16" s="1"/>
  <c r="G84" i="16" s="1"/>
  <c r="H84" i="16" s="1"/>
  <c r="I84" i="16" s="1"/>
  <c r="J84" i="16" s="1"/>
  <c r="K84" i="16" s="1"/>
  <c r="L84" i="16" s="1"/>
  <c r="M84" i="16" s="1"/>
  <c r="N84" i="16" s="1"/>
  <c r="O84" i="16" s="1"/>
  <c r="P84" i="16" s="1"/>
  <c r="Q84" i="16" s="1"/>
  <c r="R84" i="16" s="1"/>
  <c r="S84" i="16" s="1"/>
  <c r="E46" i="16"/>
  <c r="F46" i="16" s="1"/>
  <c r="G46" i="16" s="1"/>
  <c r="H46" i="16" s="1"/>
  <c r="I46" i="16" s="1"/>
  <c r="J46" i="16" s="1"/>
  <c r="K46" i="16" s="1"/>
  <c r="L46" i="16" s="1"/>
  <c r="M46" i="16" s="1"/>
  <c r="N46" i="16" s="1"/>
  <c r="O46" i="16" s="1"/>
  <c r="P46" i="16" s="1"/>
  <c r="Q46" i="16" s="1"/>
  <c r="R46" i="16" s="1"/>
  <c r="S46" i="16" s="1"/>
  <c r="E73" i="16"/>
  <c r="O101" i="22"/>
  <c r="O250" i="22" s="1"/>
  <c r="AB23" i="4" s="1"/>
  <c r="C52" i="17"/>
  <c r="D52" i="17" s="1"/>
  <c r="E52" i="17" s="1"/>
  <c r="F52" i="17" s="1"/>
  <c r="G52" i="17" s="1"/>
  <c r="H52" i="17" s="1"/>
  <c r="I52" i="17" s="1"/>
  <c r="J52" i="17" s="1"/>
  <c r="K52" i="17" s="1"/>
  <c r="L52" i="17" s="1"/>
  <c r="M52" i="17" s="1"/>
  <c r="N52" i="17" s="1"/>
  <c r="O52" i="17" s="1"/>
  <c r="P52" i="17" s="1"/>
  <c r="Q52" i="17" s="1"/>
  <c r="C72" i="17"/>
  <c r="M101" i="22"/>
  <c r="M250" i="22" s="1"/>
  <c r="Z23" i="4" s="1"/>
  <c r="C83" i="17"/>
  <c r="D83" i="17" s="1"/>
  <c r="E83" i="17" s="1"/>
  <c r="F83" i="17" s="1"/>
  <c r="G83" i="17" s="1"/>
  <c r="H83" i="17" s="1"/>
  <c r="I83" i="17" s="1"/>
  <c r="J83" i="17" s="1"/>
  <c r="K83" i="17" s="1"/>
  <c r="L83" i="17" s="1"/>
  <c r="M83" i="17" s="1"/>
  <c r="N83" i="17" s="1"/>
  <c r="O83" i="17" s="1"/>
  <c r="P83" i="17" s="1"/>
  <c r="Q83" i="17" s="1"/>
  <c r="C45" i="17"/>
  <c r="C46" i="17"/>
  <c r="D46" i="17" s="1"/>
  <c r="E46" i="17" s="1"/>
  <c r="F46" i="17" s="1"/>
  <c r="G46" i="17" s="1"/>
  <c r="H46" i="17" s="1"/>
  <c r="I46" i="17" s="1"/>
  <c r="J46" i="17" s="1"/>
  <c r="K46" i="17" s="1"/>
  <c r="L46" i="17" s="1"/>
  <c r="M46" i="17" s="1"/>
  <c r="N46" i="17" s="1"/>
  <c r="O46" i="17" s="1"/>
  <c r="P46" i="17" s="1"/>
  <c r="Q46" i="17" s="1"/>
  <c r="C47" i="17"/>
  <c r="D47" i="17" s="1"/>
  <c r="E47" i="17" s="1"/>
  <c r="F47" i="17" s="1"/>
  <c r="G47" i="17" s="1"/>
  <c r="H47" i="17" s="1"/>
  <c r="I47" i="17" s="1"/>
  <c r="J47" i="17" s="1"/>
  <c r="K47" i="17" s="1"/>
  <c r="L47" i="17" s="1"/>
  <c r="M47" i="17" s="1"/>
  <c r="N47" i="17" s="1"/>
  <c r="O47" i="17" s="1"/>
  <c r="P47" i="17" s="1"/>
  <c r="Q47" i="17" s="1"/>
  <c r="E45" i="16"/>
  <c r="F20" i="24"/>
  <c r="F18" i="24"/>
  <c r="F17" i="24"/>
  <c r="R110" i="22" l="1"/>
  <c r="R111" i="22"/>
  <c r="R106" i="22"/>
  <c r="G75" i="41"/>
  <c r="O75" i="41"/>
  <c r="H75" i="41"/>
  <c r="E75" i="41"/>
  <c r="I75" i="41"/>
  <c r="J75" i="41"/>
  <c r="K75" i="41"/>
  <c r="L75" i="41"/>
  <c r="M75" i="41"/>
  <c r="F75" i="41"/>
  <c r="N75" i="41"/>
  <c r="R101" i="22"/>
  <c r="Q74" i="22"/>
  <c r="R74" i="22"/>
  <c r="S101" i="22"/>
  <c r="T101" i="22" s="1"/>
  <c r="S37" i="22"/>
  <c r="T37" i="22" s="1"/>
  <c r="C137" i="41"/>
  <c r="D137" i="41" s="1"/>
  <c r="AA137" i="41" s="1"/>
  <c r="AB137" i="41" s="1"/>
  <c r="L114" i="7"/>
  <c r="D64" i="17"/>
  <c r="C69" i="17"/>
  <c r="E35" i="16"/>
  <c r="AO12" i="40"/>
  <c r="V13" i="40"/>
  <c r="E20" i="36"/>
  <c r="Q106" i="22"/>
  <c r="C100" i="17"/>
  <c r="D100" i="17" s="1"/>
  <c r="E100" i="17" s="1"/>
  <c r="F100" i="17" s="1"/>
  <c r="G100" i="17" s="1"/>
  <c r="H100" i="17" s="1"/>
  <c r="I100" i="17" s="1"/>
  <c r="J100" i="17" s="1"/>
  <c r="K100" i="17" s="1"/>
  <c r="L100" i="17" s="1"/>
  <c r="M100" i="17" s="1"/>
  <c r="N100" i="17" s="1"/>
  <c r="O100" i="17" s="1"/>
  <c r="P100" i="17" s="1"/>
  <c r="Q100" i="17" s="1"/>
  <c r="Q110" i="22"/>
  <c r="C104" i="17"/>
  <c r="D104" i="17" s="1"/>
  <c r="E104" i="17" s="1"/>
  <c r="F104" i="17" s="1"/>
  <c r="G104" i="17" s="1"/>
  <c r="H104" i="17" s="1"/>
  <c r="I104" i="17" s="1"/>
  <c r="J104" i="17" s="1"/>
  <c r="K104" i="17" s="1"/>
  <c r="L104" i="17" s="1"/>
  <c r="M104" i="17" s="1"/>
  <c r="N104" i="17" s="1"/>
  <c r="O104" i="17" s="1"/>
  <c r="P104" i="17" s="1"/>
  <c r="Q104" i="17" s="1"/>
  <c r="S106" i="22"/>
  <c r="T106" i="22" s="1"/>
  <c r="E101" i="16"/>
  <c r="F101" i="16" s="1"/>
  <c r="G101" i="16" s="1"/>
  <c r="H101" i="16" s="1"/>
  <c r="I101" i="16" s="1"/>
  <c r="J101" i="16" s="1"/>
  <c r="K101" i="16" s="1"/>
  <c r="L101" i="16" s="1"/>
  <c r="M101" i="16" s="1"/>
  <c r="N101" i="16" s="1"/>
  <c r="O101" i="16" s="1"/>
  <c r="P101" i="16" s="1"/>
  <c r="Q101" i="16" s="1"/>
  <c r="R101" i="16" s="1"/>
  <c r="S101" i="16" s="1"/>
  <c r="S110" i="22"/>
  <c r="T110" i="22" s="1"/>
  <c r="E105" i="16"/>
  <c r="F105" i="16" s="1"/>
  <c r="G105" i="16" s="1"/>
  <c r="H105" i="16" s="1"/>
  <c r="I105" i="16" s="1"/>
  <c r="J105" i="16" s="1"/>
  <c r="K105" i="16" s="1"/>
  <c r="L105" i="16" s="1"/>
  <c r="M105" i="16" s="1"/>
  <c r="N105" i="16" s="1"/>
  <c r="O105" i="16" s="1"/>
  <c r="P105" i="16" s="1"/>
  <c r="Q105" i="16" s="1"/>
  <c r="R105" i="16" s="1"/>
  <c r="S105" i="16" s="1"/>
  <c r="S111" i="22"/>
  <c r="T111" i="22" s="1"/>
  <c r="E106" i="16"/>
  <c r="O113" i="22"/>
  <c r="O251" i="22" s="1"/>
  <c r="AB24" i="4" s="1"/>
  <c r="Q111" i="22"/>
  <c r="C105" i="17"/>
  <c r="M113" i="22"/>
  <c r="M251" i="22" s="1"/>
  <c r="Z24" i="4" s="1"/>
  <c r="Q101" i="22"/>
  <c r="R64" i="16"/>
  <c r="Q70" i="16"/>
  <c r="Q63" i="17"/>
  <c r="D72" i="17"/>
  <c r="C95" i="17"/>
  <c r="F73" i="16"/>
  <c r="E96" i="16"/>
  <c r="F45" i="16"/>
  <c r="D45" i="17"/>
  <c r="R40" i="7"/>
  <c r="N40" i="7" s="1"/>
  <c r="R44" i="7"/>
  <c r="N44" i="7" s="1"/>
  <c r="R113" i="22" l="1"/>
  <c r="AF16" i="41"/>
  <c r="S113" i="22"/>
  <c r="T113" i="22" s="1"/>
  <c r="Q113" i="22"/>
  <c r="B16" i="17"/>
  <c r="Q17" i="17"/>
  <c r="P17" i="17"/>
  <c r="O17" i="17"/>
  <c r="M17" i="17"/>
  <c r="N17" i="17"/>
  <c r="AO13" i="40"/>
  <c r="V34" i="40"/>
  <c r="V19" i="40"/>
  <c r="V23" i="40"/>
  <c r="V17" i="40"/>
  <c r="V24" i="40"/>
  <c r="V20" i="40"/>
  <c r="V25" i="40"/>
  <c r="V22" i="40"/>
  <c r="V16" i="40"/>
  <c r="V26" i="40"/>
  <c r="V15" i="40"/>
  <c r="V28" i="40" s="1"/>
  <c r="V21" i="40"/>
  <c r="V18" i="40"/>
  <c r="F35" i="16"/>
  <c r="E64" i="17"/>
  <c r="D69" i="17"/>
  <c r="E21" i="36"/>
  <c r="D105" i="17"/>
  <c r="C107" i="17"/>
  <c r="F106" i="16"/>
  <c r="E108" i="16"/>
  <c r="S64" i="16"/>
  <c r="S70" i="16" s="1"/>
  <c r="R70" i="16"/>
  <c r="G73" i="16"/>
  <c r="F96" i="16"/>
  <c r="D95" i="17"/>
  <c r="E72" i="17"/>
  <c r="E45" i="17"/>
  <c r="G45" i="16"/>
  <c r="P50" i="7"/>
  <c r="R31" i="7"/>
  <c r="N31" i="7" s="1"/>
  <c r="R32" i="7"/>
  <c r="N32" i="7" s="1"/>
  <c r="R33" i="7"/>
  <c r="N33" i="7" s="1"/>
  <c r="R37" i="7"/>
  <c r="N37" i="7" s="1"/>
  <c r="R38" i="7"/>
  <c r="N38" i="7" s="1"/>
  <c r="R39" i="7"/>
  <c r="N39" i="7" s="1"/>
  <c r="R49" i="7"/>
  <c r="N49" i="7" s="1"/>
  <c r="R116" i="7"/>
  <c r="AA75" i="41" l="1"/>
  <c r="AB75" i="41" s="1"/>
  <c r="G35" i="16"/>
  <c r="F64" i="17"/>
  <c r="E69" i="17"/>
  <c r="V40" i="40"/>
  <c r="V41" i="40"/>
  <c r="V46" i="40"/>
  <c r="V47" i="40"/>
  <c r="V42" i="40"/>
  <c r="V36" i="40"/>
  <c r="V49" i="40" s="1"/>
  <c r="V43" i="40"/>
  <c r="V39" i="40"/>
  <c r="V44" i="40"/>
  <c r="V37" i="40"/>
  <c r="V45" i="40"/>
  <c r="V38" i="40"/>
  <c r="AO14" i="40"/>
  <c r="V55" i="40"/>
  <c r="E22" i="36"/>
  <c r="G106" i="16"/>
  <c r="F108" i="16"/>
  <c r="E105" i="17"/>
  <c r="D107" i="17"/>
  <c r="E95" i="17"/>
  <c r="F72" i="17"/>
  <c r="H73" i="16"/>
  <c r="G96" i="16"/>
  <c r="H45" i="16"/>
  <c r="F45" i="17"/>
  <c r="G64" i="17" l="1"/>
  <c r="F69" i="17"/>
  <c r="V59" i="40"/>
  <c r="V64" i="40"/>
  <c r="V60" i="40"/>
  <c r="V65" i="40"/>
  <c r="V57" i="40"/>
  <c r="V70" i="40" s="1"/>
  <c r="V66" i="40"/>
  <c r="V62" i="40"/>
  <c r="V58" i="40"/>
  <c r="V67" i="40"/>
  <c r="V68" i="40"/>
  <c r="V61" i="40"/>
  <c r="V63" i="40"/>
  <c r="AO15" i="40"/>
  <c r="V76" i="40"/>
  <c r="H35" i="16"/>
  <c r="E23" i="36"/>
  <c r="F105" i="17"/>
  <c r="E107" i="17"/>
  <c r="H106" i="16"/>
  <c r="G108" i="16"/>
  <c r="I73" i="16"/>
  <c r="H96" i="16"/>
  <c r="F95" i="17"/>
  <c r="G72" i="17"/>
  <c r="G45" i="17"/>
  <c r="I45" i="16"/>
  <c r="V79" i="40" l="1"/>
  <c r="V88" i="40"/>
  <c r="V80" i="40"/>
  <c r="V89" i="40"/>
  <c r="V86" i="40"/>
  <c r="V82" i="40"/>
  <c r="V81" i="40"/>
  <c r="V83" i="40"/>
  <c r="V84" i="40"/>
  <c r="V87" i="40"/>
  <c r="V85" i="40"/>
  <c r="V78" i="40"/>
  <c r="V91" i="40" s="1"/>
  <c r="I35" i="16"/>
  <c r="H64" i="17"/>
  <c r="G69" i="17"/>
  <c r="E24" i="36"/>
  <c r="I106" i="16"/>
  <c r="H108" i="16"/>
  <c r="G105" i="17"/>
  <c r="F107" i="17"/>
  <c r="G95" i="17"/>
  <c r="H72" i="17"/>
  <c r="J73" i="16"/>
  <c r="I96" i="16"/>
  <c r="J45" i="16"/>
  <c r="H45" i="17"/>
  <c r="Q20" i="4"/>
  <c r="J35" i="16" l="1"/>
  <c r="I64" i="17"/>
  <c r="H69" i="17"/>
  <c r="E25" i="36"/>
  <c r="H105" i="17"/>
  <c r="G107" i="17"/>
  <c r="J106" i="16"/>
  <c r="I108" i="16"/>
  <c r="K73" i="16"/>
  <c r="J96" i="16"/>
  <c r="H95" i="17"/>
  <c r="I72" i="17"/>
  <c r="I45" i="17"/>
  <c r="K45" i="16"/>
  <c r="S27" i="8"/>
  <c r="H27" i="8" s="1"/>
  <c r="Q27" i="8"/>
  <c r="F27" i="8" s="1"/>
  <c r="L104" i="7"/>
  <c r="L109" i="7" s="1"/>
  <c r="J64" i="17" l="1"/>
  <c r="I69" i="17"/>
  <c r="K35" i="16"/>
  <c r="E26" i="36"/>
  <c r="K106" i="16"/>
  <c r="J108" i="16"/>
  <c r="I105" i="17"/>
  <c r="H107" i="17"/>
  <c r="I95" i="17"/>
  <c r="J72" i="17"/>
  <c r="L73" i="16"/>
  <c r="K96" i="16"/>
  <c r="L45" i="16"/>
  <c r="J45" i="17"/>
  <c r="L35" i="16" l="1"/>
  <c r="K64" i="17"/>
  <c r="J69" i="17"/>
  <c r="E27" i="36"/>
  <c r="J105" i="17"/>
  <c r="I107" i="17"/>
  <c r="L106" i="16"/>
  <c r="K108" i="16"/>
  <c r="L96" i="16"/>
  <c r="M73" i="16"/>
  <c r="J95" i="17"/>
  <c r="K72" i="17"/>
  <c r="K45" i="17"/>
  <c r="M45" i="16"/>
  <c r="L64" i="17" l="1"/>
  <c r="K69" i="17"/>
  <c r="M35" i="16"/>
  <c r="E28" i="36"/>
  <c r="M106" i="16"/>
  <c r="L108" i="16"/>
  <c r="K105" i="17"/>
  <c r="J107" i="17"/>
  <c r="M9" i="17"/>
  <c r="K95" i="17"/>
  <c r="L72" i="17"/>
  <c r="N73" i="16"/>
  <c r="M96" i="16"/>
  <c r="N45" i="16"/>
  <c r="L45" i="17"/>
  <c r="G43" i="4"/>
  <c r="N35" i="16" l="1"/>
  <c r="M64" i="17"/>
  <c r="L69" i="17"/>
  <c r="E29" i="36"/>
  <c r="L105" i="17"/>
  <c r="K107" i="17"/>
  <c r="N106" i="16"/>
  <c r="M108" i="16"/>
  <c r="N9" i="17"/>
  <c r="O73" i="16"/>
  <c r="N96" i="16"/>
  <c r="L95" i="17"/>
  <c r="M72" i="17"/>
  <c r="O45" i="16"/>
  <c r="M45" i="17"/>
  <c r="N64" i="17" l="1"/>
  <c r="M69" i="17"/>
  <c r="O35" i="16"/>
  <c r="E30" i="36"/>
  <c r="O106" i="16"/>
  <c r="N108" i="16"/>
  <c r="M105" i="17"/>
  <c r="L107" i="17"/>
  <c r="O9" i="17"/>
  <c r="M95" i="17"/>
  <c r="N72" i="17"/>
  <c r="P73" i="16"/>
  <c r="O96" i="16"/>
  <c r="N45" i="17"/>
  <c r="P45" i="16"/>
  <c r="P3" i="8"/>
  <c r="P35" i="16" l="1"/>
  <c r="O64" i="17"/>
  <c r="N69" i="17"/>
  <c r="E31" i="36"/>
  <c r="N105" i="17"/>
  <c r="M107" i="17"/>
  <c r="P106" i="16"/>
  <c r="O108" i="16"/>
  <c r="P9" i="17"/>
  <c r="N95" i="17"/>
  <c r="O72" i="17"/>
  <c r="Q73" i="16"/>
  <c r="P96" i="16"/>
  <c r="Q45" i="16"/>
  <c r="O45" i="17"/>
  <c r="B12" i="28"/>
  <c r="P64" i="17" l="1"/>
  <c r="O69" i="17"/>
  <c r="Q35" i="16"/>
  <c r="E32" i="36"/>
  <c r="Q106" i="16"/>
  <c r="P108" i="16"/>
  <c r="O105" i="17"/>
  <c r="N107" i="17"/>
  <c r="Q9" i="17"/>
  <c r="R73" i="16"/>
  <c r="Q96" i="16"/>
  <c r="O95" i="17"/>
  <c r="P72" i="17"/>
  <c r="P45" i="17"/>
  <c r="R45" i="16"/>
  <c r="B7" i="28"/>
  <c r="B1" i="28" a="1"/>
  <c r="B1" i="28" s="1"/>
  <c r="B18" i="28"/>
  <c r="S35" i="16" l="1"/>
  <c r="R35" i="16"/>
  <c r="Q64" i="17"/>
  <c r="Q69" i="17" s="1"/>
  <c r="P69" i="17"/>
  <c r="E33" i="36"/>
  <c r="P105" i="17"/>
  <c r="O107" i="17"/>
  <c r="R106" i="16"/>
  <c r="Q108" i="16"/>
  <c r="Q72" i="17"/>
  <c r="Q95" i="17" s="1"/>
  <c r="P95" i="17"/>
  <c r="S73" i="16"/>
  <c r="S96" i="16" s="1"/>
  <c r="R96" i="16"/>
  <c r="S45" i="16"/>
  <c r="Q45" i="17"/>
  <c r="E34" i="36" l="1"/>
  <c r="S106" i="16"/>
  <c r="S108" i="16" s="1"/>
  <c r="R108" i="16"/>
  <c r="Q105" i="17"/>
  <c r="Q107" i="17" s="1"/>
  <c r="P107" i="17"/>
  <c r="E11" i="24"/>
  <c r="E35" i="36" l="1"/>
  <c r="E36" i="36" l="1"/>
  <c r="N116" i="7"/>
  <c r="E37" i="36" l="1"/>
  <c r="E38" i="36" l="1"/>
  <c r="L50" i="7"/>
  <c r="E39" i="36" l="1"/>
  <c r="L83" i="7"/>
  <c r="L91" i="7" s="1"/>
  <c r="E40" i="36" l="1"/>
  <c r="E41" i="36" l="1"/>
  <c r="L96" i="7"/>
  <c r="E42" i="36" l="1"/>
  <c r="E43" i="36" l="1"/>
  <c r="F18" i="7"/>
  <c r="F19" i="7"/>
  <c r="E44" i="36" l="1"/>
  <c r="E45" i="36" l="1"/>
  <c r="S38" i="8" l="1"/>
  <c r="H38" i="8" s="1"/>
  <c r="Q38" i="8"/>
  <c r="F38" i="8" s="1"/>
  <c r="Q14" i="8"/>
  <c r="E46" i="36"/>
  <c r="D38" i="8"/>
  <c r="D39" i="8" s="1"/>
  <c r="P250" i="22" l="1"/>
  <c r="AC23" i="4" s="1"/>
  <c r="N251" i="22"/>
  <c r="AA24" i="4" s="1"/>
  <c r="N250" i="22"/>
  <c r="AA23" i="4" s="1"/>
  <c r="P251" i="22"/>
  <c r="AC24" i="4" s="1"/>
  <c r="D9" i="22"/>
  <c r="N63" i="22"/>
  <c r="J63" i="22"/>
  <c r="H63" i="22"/>
  <c r="F63" i="22"/>
  <c r="D63" i="22"/>
  <c r="P63" i="22"/>
  <c r="L63" i="22"/>
  <c r="AA6" i="40"/>
  <c r="I45" i="40" s="1"/>
  <c r="F8" i="6"/>
  <c r="F14" i="8"/>
  <c r="F39" i="8" s="1"/>
  <c r="AA8" i="40"/>
  <c r="E47" i="36"/>
  <c r="F15" i="8" l="1"/>
  <c r="I46" i="40"/>
  <c r="I22" i="40"/>
  <c r="I47" i="40"/>
  <c r="I39" i="40"/>
  <c r="I17" i="40"/>
  <c r="P82" i="40"/>
  <c r="P39" i="40"/>
  <c r="P47" i="40"/>
  <c r="I60" i="40"/>
  <c r="I84" i="40"/>
  <c r="I85" i="40"/>
  <c r="P37" i="40"/>
  <c r="I41" i="40"/>
  <c r="I25" i="40"/>
  <c r="I58" i="40"/>
  <c r="P66" i="40"/>
  <c r="I37" i="40"/>
  <c r="P65" i="40"/>
  <c r="P15" i="40"/>
  <c r="X15" i="40" s="1"/>
  <c r="I81" i="40"/>
  <c r="P19" i="40"/>
  <c r="P42" i="40"/>
  <c r="P40" i="40"/>
  <c r="I68" i="40"/>
  <c r="I66" i="40"/>
  <c r="I78" i="40"/>
  <c r="I62" i="40"/>
  <c r="I44" i="40"/>
  <c r="I24" i="40"/>
  <c r="I21" i="40"/>
  <c r="I63" i="40"/>
  <c r="P43" i="40"/>
  <c r="I59" i="40"/>
  <c r="I26" i="40"/>
  <c r="P21" i="40"/>
  <c r="I23" i="40"/>
  <c r="I83" i="40"/>
  <c r="I89" i="40"/>
  <c r="I80" i="40"/>
  <c r="I87" i="40"/>
  <c r="P78" i="40"/>
  <c r="I43" i="40"/>
  <c r="P45" i="40"/>
  <c r="P25" i="40"/>
  <c r="I20" i="40"/>
  <c r="P18" i="40"/>
  <c r="X18" i="40" s="1"/>
  <c r="P17" i="40"/>
  <c r="X17" i="40" s="1"/>
  <c r="P24" i="40"/>
  <c r="I19" i="40"/>
  <c r="I15" i="40"/>
  <c r="I82" i="40"/>
  <c r="I64" i="40"/>
  <c r="I38" i="40"/>
  <c r="P23" i="40"/>
  <c r="P16" i="40"/>
  <c r="X16" i="40" s="1"/>
  <c r="I88" i="40"/>
  <c r="P57" i="40"/>
  <c r="P41" i="40"/>
  <c r="I79" i="40"/>
  <c r="P86" i="40"/>
  <c r="I18" i="40"/>
  <c r="P64" i="40"/>
  <c r="P62" i="40"/>
  <c r="P68" i="40"/>
  <c r="P67" i="40"/>
  <c r="P58" i="40"/>
  <c r="P22" i="40"/>
  <c r="I61" i="40"/>
  <c r="P89" i="40"/>
  <c r="P88" i="40"/>
  <c r="P87" i="40"/>
  <c r="P38" i="40"/>
  <c r="P60" i="40"/>
  <c r="P44" i="40"/>
  <c r="P59" i="40"/>
  <c r="P63" i="40"/>
  <c r="I40" i="40"/>
  <c r="P83" i="40"/>
  <c r="I57" i="40"/>
  <c r="P46" i="40"/>
  <c r="I16" i="40"/>
  <c r="P26" i="40"/>
  <c r="P20" i="40"/>
  <c r="I36" i="40"/>
  <c r="P36" i="40"/>
  <c r="I86" i="40"/>
  <c r="P81" i="40"/>
  <c r="I67" i="40"/>
  <c r="P79" i="40"/>
  <c r="I42" i="40"/>
  <c r="P85" i="40"/>
  <c r="P61" i="40"/>
  <c r="P84" i="40"/>
  <c r="P80" i="40"/>
  <c r="I65" i="40"/>
  <c r="R59" i="22"/>
  <c r="Q59" i="22"/>
  <c r="C56" i="17"/>
  <c r="D56" i="17" s="1"/>
  <c r="E56" i="17" s="1"/>
  <c r="F56" i="17" s="1"/>
  <c r="G56" i="17" s="1"/>
  <c r="H56" i="17" s="1"/>
  <c r="I56" i="17" s="1"/>
  <c r="J56" i="17" s="1"/>
  <c r="K56" i="17" s="1"/>
  <c r="L56" i="17" s="1"/>
  <c r="M56" i="17" s="1"/>
  <c r="N56" i="17" s="1"/>
  <c r="O56" i="17" s="1"/>
  <c r="P56" i="17" s="1"/>
  <c r="Q56" i="17" s="1"/>
  <c r="AF15" i="40"/>
  <c r="C159" i="41"/>
  <c r="J93" i="40"/>
  <c r="J72" i="40"/>
  <c r="J51" i="40"/>
  <c r="J30" i="40"/>
  <c r="E48" i="36"/>
  <c r="D159" i="41" l="1"/>
  <c r="P159" i="41"/>
  <c r="P160" i="41" s="1"/>
  <c r="H159" i="41"/>
  <c r="Q159" i="41"/>
  <c r="Q160" i="41" s="1"/>
  <c r="W159" i="41"/>
  <c r="O159" i="41"/>
  <c r="G159" i="41"/>
  <c r="R159" i="41"/>
  <c r="R160" i="41" s="1"/>
  <c r="V159" i="41"/>
  <c r="V160" i="41" s="1"/>
  <c r="N159" i="41"/>
  <c r="F159" i="41"/>
  <c r="U159" i="41"/>
  <c r="U160" i="41" s="1"/>
  <c r="M159" i="41"/>
  <c r="E159" i="41"/>
  <c r="I159" i="41"/>
  <c r="T159" i="41"/>
  <c r="T160" i="41" s="1"/>
  <c r="L159" i="41"/>
  <c r="S159" i="41"/>
  <c r="S160" i="41" s="1"/>
  <c r="K159" i="41"/>
  <c r="J159" i="41"/>
  <c r="AA5" i="40"/>
  <c r="AF16" i="40"/>
  <c r="AF17" i="40" s="1"/>
  <c r="AF18" i="40" s="1"/>
  <c r="AF19" i="40" s="1"/>
  <c r="AF20" i="40" s="1"/>
  <c r="AF21" i="40" s="1"/>
  <c r="AF22" i="40" s="1"/>
  <c r="AF23" i="40" s="1"/>
  <c r="AF24" i="40" s="1"/>
  <c r="AF25" i="40" s="1"/>
  <c r="AF26" i="40" s="1"/>
  <c r="AF36" i="40" s="1"/>
  <c r="AF37" i="40" s="1"/>
  <c r="AF38" i="40" s="1"/>
  <c r="AF39" i="40" s="1"/>
  <c r="AF40" i="40" s="1"/>
  <c r="AF41" i="40" s="1"/>
  <c r="AF42" i="40" s="1"/>
  <c r="AF43" i="40" s="1"/>
  <c r="AF44" i="40" s="1"/>
  <c r="AF45" i="40" s="1"/>
  <c r="AF46" i="40" s="1"/>
  <c r="AF47" i="40" s="1"/>
  <c r="AF57" i="40" s="1"/>
  <c r="AF58" i="40" s="1"/>
  <c r="AF59" i="40" s="1"/>
  <c r="AF60" i="40" s="1"/>
  <c r="AF61" i="40" s="1"/>
  <c r="AF62" i="40" s="1"/>
  <c r="AF63" i="40" s="1"/>
  <c r="AF64" i="40" s="1"/>
  <c r="AF65" i="40" s="1"/>
  <c r="AF66" i="40" s="1"/>
  <c r="AF67" i="40" s="1"/>
  <c r="AF68" i="40" s="1"/>
  <c r="AF78" i="40" s="1"/>
  <c r="AF79" i="40" s="1"/>
  <c r="AF80" i="40" s="1"/>
  <c r="AF81" i="40" s="1"/>
  <c r="AF82" i="40" s="1"/>
  <c r="AF83" i="40" s="1"/>
  <c r="AF84" i="40" s="1"/>
  <c r="AF85" i="40" s="1"/>
  <c r="AF86" i="40" s="1"/>
  <c r="AF87" i="40" s="1"/>
  <c r="AF88" i="40" s="1"/>
  <c r="AF89" i="40" s="1"/>
  <c r="E49" i="36"/>
  <c r="X6" i="41" l="1"/>
  <c r="Y6" i="41" s="1"/>
  <c r="M9" i="40"/>
  <c r="E50" i="36"/>
  <c r="R105" i="7"/>
  <c r="W163" i="41" l="1"/>
  <c r="AF26" i="41"/>
  <c r="X158" i="41"/>
  <c r="X165" i="41"/>
  <c r="Y158" i="41"/>
  <c r="E51" i="36"/>
  <c r="I6" i="7"/>
  <c r="X159" i="41" l="1"/>
  <c r="Y159" i="41"/>
  <c r="AF54" i="41"/>
  <c r="AG54" i="41" s="1"/>
  <c r="AF57" i="41"/>
  <c r="AG57" i="41" s="1"/>
  <c r="AF56" i="41"/>
  <c r="AG56" i="41" s="1"/>
  <c r="AF53" i="41"/>
  <c r="AG53" i="41" s="1"/>
  <c r="AF55" i="41"/>
  <c r="AG55" i="41" s="1"/>
  <c r="AF52" i="41"/>
  <c r="AG52" i="41" s="1"/>
  <c r="P6" i="7"/>
  <c r="C37" i="41"/>
  <c r="D37" i="41" s="1"/>
  <c r="AA37" i="41" s="1"/>
  <c r="AB37" i="41" s="1"/>
  <c r="P121" i="7"/>
  <c r="J6" i="7"/>
  <c r="J8" i="7" s="1"/>
  <c r="I8" i="7"/>
  <c r="G47" i="4"/>
  <c r="F16" i="4" l="1"/>
  <c r="C141" i="41"/>
  <c r="D141" i="41" s="1"/>
  <c r="AA141" i="41" s="1"/>
  <c r="AB141" i="41" s="1"/>
  <c r="P122" i="7"/>
  <c r="L5" i="7" l="1"/>
  <c r="L8" i="7" s="1"/>
  <c r="P5" i="7" l="1"/>
  <c r="P8" i="7" l="1"/>
  <c r="I13" i="7" l="1"/>
  <c r="B56" i="34"/>
  <c r="I12" i="7"/>
  <c r="P118" i="7"/>
  <c r="P124" i="7" s="1"/>
  <c r="I5" i="6" s="1"/>
  <c r="B34" i="34"/>
  <c r="J51" i="22"/>
  <c r="H54" i="22"/>
  <c r="L55" i="22"/>
  <c r="J52" i="22"/>
  <c r="F51" i="22"/>
  <c r="N36" i="22"/>
  <c r="D52" i="22"/>
  <c r="L51" i="22"/>
  <c r="J53" i="22"/>
  <c r="F52" i="22"/>
  <c r="D11" i="22"/>
  <c r="L53" i="22"/>
  <c r="J54" i="22"/>
  <c r="F53" i="22"/>
  <c r="L54" i="22"/>
  <c r="J55" i="22"/>
  <c r="F54" i="22"/>
  <c r="H51" i="22"/>
  <c r="L56" i="22"/>
  <c r="H52" i="22"/>
  <c r="D53" i="22"/>
  <c r="J50" i="22"/>
  <c r="H53" i="22"/>
  <c r="L52" i="22"/>
  <c r="N51" i="22"/>
  <c r="P53" i="22"/>
  <c r="P59" i="22"/>
  <c r="P32" i="22"/>
  <c r="F68" i="22"/>
  <c r="J68" i="22"/>
  <c r="H68" i="22"/>
  <c r="D68" i="22"/>
  <c r="N68" i="22"/>
  <c r="H69" i="22"/>
  <c r="P68" i="22"/>
  <c r="L68" i="22"/>
  <c r="D29" i="22"/>
  <c r="P110" i="22"/>
  <c r="N109" i="22"/>
  <c r="L108" i="22"/>
  <c r="J107" i="22"/>
  <c r="H106" i="22"/>
  <c r="F105" i="22"/>
  <c r="D99" i="22"/>
  <c r="D91" i="22"/>
  <c r="D83" i="22"/>
  <c r="F97" i="22"/>
  <c r="F89" i="22"/>
  <c r="F81" i="22"/>
  <c r="H95" i="22"/>
  <c r="H87" i="22"/>
  <c r="H79" i="22"/>
  <c r="J93" i="22"/>
  <c r="J85" i="22"/>
  <c r="L99" i="22"/>
  <c r="L91" i="22"/>
  <c r="L83" i="22"/>
  <c r="N97" i="22"/>
  <c r="N89" i="22"/>
  <c r="N81" i="22"/>
  <c r="P95" i="22"/>
  <c r="P87" i="22"/>
  <c r="P79" i="22"/>
  <c r="N72" i="22"/>
  <c r="J72" i="22"/>
  <c r="F71" i="22"/>
  <c r="P54" i="22"/>
  <c r="P46" i="22"/>
  <c r="N56" i="22"/>
  <c r="N47" i="22"/>
  <c r="L57" i="22"/>
  <c r="L49" i="22"/>
  <c r="J59" i="22"/>
  <c r="H61" i="22"/>
  <c r="H45" i="22"/>
  <c r="F55" i="22"/>
  <c r="F47" i="22"/>
  <c r="D57" i="22"/>
  <c r="D49" i="22"/>
  <c r="D33" i="22"/>
  <c r="H33" i="22"/>
  <c r="L33" i="22"/>
  <c r="P33" i="22"/>
  <c r="P26" i="22"/>
  <c r="L27" i="22"/>
  <c r="F26" i="22"/>
  <c r="P10" i="22"/>
  <c r="L10" i="22"/>
  <c r="J9" i="22"/>
  <c r="F11" i="22"/>
  <c r="H115" i="22"/>
  <c r="N113" i="22"/>
  <c r="F113" i="22"/>
  <c r="H100" i="22"/>
  <c r="P100" i="22"/>
  <c r="N73" i="22"/>
  <c r="F73" i="22"/>
  <c r="F62" i="22"/>
  <c r="J19" i="22"/>
  <c r="D36" i="22"/>
  <c r="H21" i="22"/>
  <c r="H13" i="22"/>
  <c r="D19" i="22"/>
  <c r="H86" i="22"/>
  <c r="H78" i="22"/>
  <c r="J92" i="22"/>
  <c r="J84" i="22"/>
  <c r="L98" i="22"/>
  <c r="P109" i="22"/>
  <c r="N108" i="22"/>
  <c r="L107" i="22"/>
  <c r="J106" i="22"/>
  <c r="H105" i="22"/>
  <c r="D111" i="22"/>
  <c r="D98" i="22"/>
  <c r="D90" i="22"/>
  <c r="D82" i="22"/>
  <c r="F96" i="22"/>
  <c r="F88" i="22"/>
  <c r="F80" i="22"/>
  <c r="H94" i="22"/>
  <c r="P108" i="22"/>
  <c r="N107" i="22"/>
  <c r="L106" i="22"/>
  <c r="J105" i="22"/>
  <c r="F111" i="22"/>
  <c r="D110" i="22"/>
  <c r="D97" i="22"/>
  <c r="D89" i="22"/>
  <c r="D81" i="22"/>
  <c r="F95" i="22"/>
  <c r="F87" i="22"/>
  <c r="F79" i="22"/>
  <c r="H93" i="22"/>
  <c r="H85" i="22"/>
  <c r="J99" i="22"/>
  <c r="J91" i="22"/>
  <c r="J83" i="22"/>
  <c r="L97" i="22"/>
  <c r="L89" i="22"/>
  <c r="L81" i="22"/>
  <c r="N95" i="22"/>
  <c r="N87" i="22"/>
  <c r="N79" i="22"/>
  <c r="P93" i="22"/>
  <c r="P85" i="22"/>
  <c r="N70" i="22"/>
  <c r="J70" i="22"/>
  <c r="F69" i="22"/>
  <c r="P60" i="22"/>
  <c r="P44" i="22"/>
  <c r="N54" i="22"/>
  <c r="N45" i="22"/>
  <c r="L47" i="22"/>
  <c r="J57" i="22"/>
  <c r="J49" i="22"/>
  <c r="H59" i="22"/>
  <c r="F61" i="22"/>
  <c r="F45" i="22"/>
  <c r="D55" i="22"/>
  <c r="D47" i="22"/>
  <c r="F35" i="22"/>
  <c r="J35" i="22"/>
  <c r="N35" i="22"/>
  <c r="P27" i="22"/>
  <c r="J26" i="22"/>
  <c r="L8" i="22"/>
  <c r="H10" i="22"/>
  <c r="F9" i="22"/>
  <c r="D115" i="22"/>
  <c r="L112" i="22"/>
  <c r="D112" i="22"/>
  <c r="J101" i="22"/>
  <c r="L74" i="22"/>
  <c r="F37" i="22"/>
  <c r="P29" i="22"/>
  <c r="F19" i="22"/>
  <c r="H36" i="22"/>
  <c r="N28" i="22"/>
  <c r="L21" i="22"/>
  <c r="D28" i="22"/>
  <c r="J74" i="22"/>
  <c r="H37" i="22"/>
  <c r="L19" i="22"/>
  <c r="L28" i="22"/>
  <c r="D10" i="22"/>
  <c r="D26" i="22"/>
  <c r="P107" i="22"/>
  <c r="N106" i="22"/>
  <c r="L105" i="22"/>
  <c r="H111" i="22"/>
  <c r="F110" i="22"/>
  <c r="D109" i="22"/>
  <c r="D96" i="22"/>
  <c r="D88" i="22"/>
  <c r="D80" i="22"/>
  <c r="F94" i="22"/>
  <c r="F86" i="22"/>
  <c r="F78" i="22"/>
  <c r="H92" i="22"/>
  <c r="H84" i="22"/>
  <c r="J98" i="22"/>
  <c r="J90" i="22"/>
  <c r="J82" i="22"/>
  <c r="L96" i="22"/>
  <c r="L88" i="22"/>
  <c r="L80" i="22"/>
  <c r="N94" i="22"/>
  <c r="N86" i="22"/>
  <c r="N78" i="22"/>
  <c r="P92" i="22"/>
  <c r="P84" i="22"/>
  <c r="N69" i="22"/>
  <c r="J69" i="22"/>
  <c r="D72" i="22"/>
  <c r="P51" i="22"/>
  <c r="N61" i="22"/>
  <c r="N53" i="22"/>
  <c r="N44" i="22"/>
  <c r="L46" i="22"/>
  <c r="J56" i="22"/>
  <c r="J48" i="22"/>
  <c r="H58" i="22"/>
  <c r="H50" i="22"/>
  <c r="F60" i="22"/>
  <c r="F44" i="22"/>
  <c r="D54" i="22"/>
  <c r="D46" i="22"/>
  <c r="F34" i="22"/>
  <c r="J34" i="22"/>
  <c r="N34" i="22"/>
  <c r="N27" i="22"/>
  <c r="J25" i="22"/>
  <c r="L11" i="22"/>
  <c r="H9" i="22"/>
  <c r="F8" i="22"/>
  <c r="J112" i="22"/>
  <c r="D101" i="22"/>
  <c r="L101" i="22"/>
  <c r="P62" i="22"/>
  <c r="N29" i="22"/>
  <c r="J36" i="22"/>
  <c r="D27" i="22"/>
  <c r="P13" i="22"/>
  <c r="P106" i="22"/>
  <c r="N105" i="22"/>
  <c r="J111" i="22"/>
  <c r="H110" i="22"/>
  <c r="F109" i="22"/>
  <c r="D108" i="22"/>
  <c r="D95" i="22"/>
  <c r="D87" i="22"/>
  <c r="D79" i="22"/>
  <c r="F93" i="22"/>
  <c r="F85" i="22"/>
  <c r="H99" i="22"/>
  <c r="H91" i="22"/>
  <c r="H83" i="22"/>
  <c r="J97" i="22"/>
  <c r="J89" i="22"/>
  <c r="J81" i="22"/>
  <c r="L95" i="22"/>
  <c r="L87" i="22"/>
  <c r="L79" i="22"/>
  <c r="N93" i="22"/>
  <c r="N85" i="22"/>
  <c r="P99" i="22"/>
  <c r="P91" i="22"/>
  <c r="P83" i="22"/>
  <c r="P72" i="22"/>
  <c r="L72" i="22"/>
  <c r="H72" i="22"/>
  <c r="D71" i="22"/>
  <c r="P58" i="22"/>
  <c r="P50" i="22"/>
  <c r="N60" i="22"/>
  <c r="L61" i="22"/>
  <c r="L45" i="22"/>
  <c r="J47" i="22"/>
  <c r="H57" i="22"/>
  <c r="H49" i="22"/>
  <c r="F59" i="22"/>
  <c r="D61" i="22"/>
  <c r="D45" i="22"/>
  <c r="F33" i="22"/>
  <c r="J33" i="22"/>
  <c r="N33" i="22"/>
  <c r="N26" i="22"/>
  <c r="H25" i="22"/>
  <c r="N11" i="22"/>
  <c r="L12" i="22"/>
  <c r="H8" i="22"/>
  <c r="J113" i="22"/>
  <c r="D100" i="22"/>
  <c r="L100" i="22"/>
  <c r="J73" i="22"/>
  <c r="N62" i="22"/>
  <c r="J37" i="22"/>
  <c r="L29" i="22"/>
  <c r="L36" i="22"/>
  <c r="J28" i="22"/>
  <c r="P105" i="22"/>
  <c r="L111" i="22"/>
  <c r="J110" i="22"/>
  <c r="H109" i="22"/>
  <c r="F108" i="22"/>
  <c r="D107" i="22"/>
  <c r="D94" i="22"/>
  <c r="D86" i="22"/>
  <c r="D78" i="22"/>
  <c r="F92" i="22"/>
  <c r="F84" i="22"/>
  <c r="H98" i="22"/>
  <c r="H90" i="22"/>
  <c r="H82" i="22"/>
  <c r="J96" i="22"/>
  <c r="J88" i="22"/>
  <c r="J80" i="22"/>
  <c r="L94" i="22"/>
  <c r="L86" i="22"/>
  <c r="L78" i="22"/>
  <c r="N92" i="22"/>
  <c r="N84" i="22"/>
  <c r="P98" i="22"/>
  <c r="P90" i="22"/>
  <c r="P82" i="22"/>
  <c r="P71" i="22"/>
  <c r="L71" i="22"/>
  <c r="H71" i="22"/>
  <c r="D70" i="22"/>
  <c r="P57" i="22"/>
  <c r="P49" i="22"/>
  <c r="N59" i="22"/>
  <c r="L60" i="22"/>
  <c r="L44" i="22"/>
  <c r="J46" i="22"/>
  <c r="H56" i="22"/>
  <c r="H48" i="22"/>
  <c r="F58" i="22"/>
  <c r="F50" i="22"/>
  <c r="D60" i="22"/>
  <c r="D44" i="22"/>
  <c r="F32" i="22"/>
  <c r="J32" i="22"/>
  <c r="N32" i="22"/>
  <c r="N25" i="22"/>
  <c r="H26" i="22"/>
  <c r="N10" i="22"/>
  <c r="J12" i="22"/>
  <c r="H11" i="22"/>
  <c r="P113" i="22"/>
  <c r="H113" i="22"/>
  <c r="F100" i="22"/>
  <c r="N100" i="22"/>
  <c r="P73" i="22"/>
  <c r="H73" i="22"/>
  <c r="L62" i="22"/>
  <c r="L37" i="22"/>
  <c r="J29" i="22"/>
  <c r="H28" i="22"/>
  <c r="N13" i="22"/>
  <c r="D25" i="22"/>
  <c r="D12" i="22"/>
  <c r="H108" i="22"/>
  <c r="P111" i="22"/>
  <c r="F107" i="22"/>
  <c r="F99" i="22"/>
  <c r="H89" i="22"/>
  <c r="J79" i="22"/>
  <c r="N99" i="22"/>
  <c r="N80" i="22"/>
  <c r="P80" i="22"/>
  <c r="J71" i="22"/>
  <c r="N46" i="22"/>
  <c r="J60" i="22"/>
  <c r="H55" i="22"/>
  <c r="D50" i="22"/>
  <c r="L35" i="22"/>
  <c r="P25" i="22"/>
  <c r="J11" i="22"/>
  <c r="F115" i="22"/>
  <c r="H101" i="22"/>
  <c r="H74" i="22"/>
  <c r="L13" i="22"/>
  <c r="L26" i="22"/>
  <c r="D73" i="22"/>
  <c r="F28" i="22"/>
  <c r="F70" i="22"/>
  <c r="D34" i="22"/>
  <c r="P11" i="22"/>
  <c r="L113" i="22"/>
  <c r="H19" i="22"/>
  <c r="P55" i="22"/>
  <c r="N8" i="22"/>
  <c r="F36" i="22"/>
  <c r="H96" i="22"/>
  <c r="H60" i="22"/>
  <c r="L9" i="22"/>
  <c r="N111" i="22"/>
  <c r="F106" i="22"/>
  <c r="F98" i="22"/>
  <c r="H88" i="22"/>
  <c r="J78" i="22"/>
  <c r="N98" i="22"/>
  <c r="P97" i="22"/>
  <c r="P78" i="22"/>
  <c r="H70" i="22"/>
  <c r="P47" i="22"/>
  <c r="L59" i="22"/>
  <c r="J58" i="22"/>
  <c r="F49" i="22"/>
  <c r="D48" i="22"/>
  <c r="L34" i="22"/>
  <c r="L25" i="22"/>
  <c r="J10" i="22"/>
  <c r="P112" i="22"/>
  <c r="J100" i="22"/>
  <c r="F74" i="22"/>
  <c r="H29" i="22"/>
  <c r="P28" i="22"/>
  <c r="J13" i="22"/>
  <c r="F91" i="22"/>
  <c r="N96" i="22"/>
  <c r="P96" i="22"/>
  <c r="L58" i="22"/>
  <c r="F48" i="22"/>
  <c r="L32" i="22"/>
  <c r="P12" i="22"/>
  <c r="N112" i="22"/>
  <c r="F29" i="22"/>
  <c r="N91" i="22"/>
  <c r="P70" i="22"/>
  <c r="N58" i="22"/>
  <c r="H47" i="22"/>
  <c r="P35" i="22"/>
  <c r="H12" i="22"/>
  <c r="P101" i="22"/>
  <c r="F21" i="22"/>
  <c r="J44" i="22"/>
  <c r="H34" i="22"/>
  <c r="L115" i="22"/>
  <c r="D84" i="22"/>
  <c r="N82" i="22"/>
  <c r="L69" i="22"/>
  <c r="D51" i="22"/>
  <c r="P37" i="22"/>
  <c r="N110" i="22"/>
  <c r="D106" i="22"/>
  <c r="H81" i="22"/>
  <c r="L93" i="22"/>
  <c r="F72" i="22"/>
  <c r="P45" i="22"/>
  <c r="D35" i="22"/>
  <c r="J8" i="22"/>
  <c r="N101" i="22"/>
  <c r="F13" i="22"/>
  <c r="P94" i="22"/>
  <c r="F46" i="22"/>
  <c r="J27" i="22"/>
  <c r="J62" i="22"/>
  <c r="D21" i="22"/>
  <c r="L48" i="22"/>
  <c r="D113" i="22"/>
  <c r="D13" i="22"/>
  <c r="J86" i="22"/>
  <c r="J61" i="22"/>
  <c r="P36" i="22"/>
  <c r="L110" i="22"/>
  <c r="D105" i="22"/>
  <c r="F90" i="22"/>
  <c r="H80" i="22"/>
  <c r="L92" i="22"/>
  <c r="L109" i="22"/>
  <c r="D93" i="22"/>
  <c r="F83" i="22"/>
  <c r="J95" i="22"/>
  <c r="L90" i="22"/>
  <c r="N90" i="22"/>
  <c r="P89" i="22"/>
  <c r="P69" i="22"/>
  <c r="D69" i="22"/>
  <c r="P61" i="22"/>
  <c r="N57" i="22"/>
  <c r="H46" i="22"/>
  <c r="D59" i="22"/>
  <c r="D32" i="22"/>
  <c r="P34" i="22"/>
  <c r="H27" i="22"/>
  <c r="P9" i="22"/>
  <c r="F12" i="22"/>
  <c r="H112" i="22"/>
  <c r="H62" i="22"/>
  <c r="J21" i="22"/>
  <c r="P81" i="22"/>
  <c r="F101" i="22"/>
  <c r="J109" i="22"/>
  <c r="D92" i="22"/>
  <c r="F82" i="22"/>
  <c r="J94" i="22"/>
  <c r="L85" i="22"/>
  <c r="N88" i="22"/>
  <c r="P88" i="22"/>
  <c r="N71" i="22"/>
  <c r="P56" i="22"/>
  <c r="N55" i="22"/>
  <c r="L50" i="22"/>
  <c r="J45" i="22"/>
  <c r="H44" i="22"/>
  <c r="D58" i="22"/>
  <c r="H35" i="22"/>
  <c r="F27" i="22"/>
  <c r="N9" i="22"/>
  <c r="F10" i="22"/>
  <c r="F112" i="22"/>
  <c r="P74" i="22"/>
  <c r="D62" i="22"/>
  <c r="D37" i="22"/>
  <c r="J108" i="22"/>
  <c r="D85" i="22"/>
  <c r="H97" i="22"/>
  <c r="J87" i="22"/>
  <c r="L84" i="22"/>
  <c r="N83" i="22"/>
  <c r="P86" i="22"/>
  <c r="L70" i="22"/>
  <c r="F57" i="22"/>
  <c r="D56" i="22"/>
  <c r="F25" i="22"/>
  <c r="N74" i="22"/>
  <c r="H107" i="22"/>
  <c r="L82" i="22"/>
  <c r="F56" i="22"/>
  <c r="H32" i="22"/>
  <c r="J115" i="22"/>
  <c r="L73" i="22"/>
  <c r="D8" i="22"/>
  <c r="H14" i="22"/>
  <c r="L14" i="22"/>
  <c r="F14" i="22"/>
  <c r="D14" i="22"/>
  <c r="J14" i="22"/>
  <c r="N50" i="22"/>
  <c r="P48" i="22"/>
  <c r="N48" i="22"/>
  <c r="N49" i="22"/>
  <c r="I20" i="35"/>
  <c r="B13" i="28"/>
  <c r="B16" i="28" s="1"/>
  <c r="B20" i="28" s="1"/>
  <c r="I11" i="7"/>
  <c r="E11" i="4"/>
  <c r="E10" i="24"/>
  <c r="I21" i="7" l="1"/>
  <c r="AD21" i="7" s="1"/>
  <c r="N12" i="22"/>
  <c r="I17" i="7"/>
  <c r="I15" i="7"/>
  <c r="I14" i="7"/>
  <c r="R14" i="7" s="1"/>
  <c r="N14" i="7" s="1"/>
  <c r="I16" i="7"/>
  <c r="T12" i="22"/>
  <c r="S12" i="22"/>
  <c r="E12" i="16"/>
  <c r="R12" i="22"/>
  <c r="Q12" i="22"/>
  <c r="C12" i="17"/>
  <c r="M14" i="22"/>
  <c r="I18" i="7"/>
  <c r="I19" i="7"/>
  <c r="R36" i="22"/>
  <c r="Q36" i="22"/>
  <c r="C34" i="17"/>
  <c r="M37" i="22"/>
  <c r="C119" i="41"/>
  <c r="D119" i="41" s="1"/>
  <c r="AA119" i="41" s="1"/>
  <c r="AB119" i="41" s="1"/>
  <c r="J94" i="7"/>
  <c r="R76" i="7"/>
  <c r="C100" i="41"/>
  <c r="D100" i="41" s="1"/>
  <c r="AA100" i="41" s="1"/>
  <c r="AB100" i="41" s="1"/>
  <c r="J73" i="7"/>
  <c r="C42" i="41"/>
  <c r="E42" i="41" s="1"/>
  <c r="G42" i="41" s="1"/>
  <c r="I42" i="41" s="1"/>
  <c r="K42" i="41" s="1"/>
  <c r="M42" i="41" s="1"/>
  <c r="O42" i="41" s="1"/>
  <c r="Q42" i="41" s="1"/>
  <c r="S42" i="41" s="1"/>
  <c r="U42" i="41" s="1"/>
  <c r="J12" i="7"/>
  <c r="C41" i="41"/>
  <c r="J11" i="7"/>
  <c r="R12" i="7"/>
  <c r="R100" i="7"/>
  <c r="S59" i="22"/>
  <c r="T59" i="22" s="1"/>
  <c r="E56" i="16"/>
  <c r="G16" i="24"/>
  <c r="G18" i="24"/>
  <c r="G20" i="24"/>
  <c r="G17" i="24"/>
  <c r="R11" i="7"/>
  <c r="N11" i="7" s="1"/>
  <c r="H64" i="22"/>
  <c r="D40" i="22"/>
  <c r="L40" i="22"/>
  <c r="J64" i="22"/>
  <c r="J40" i="22"/>
  <c r="F64" i="22"/>
  <c r="D64" i="22"/>
  <c r="F40" i="22"/>
  <c r="L64" i="22"/>
  <c r="H40" i="22"/>
  <c r="H23" i="35"/>
  <c r="I23" i="35" s="1"/>
  <c r="G16" i="4"/>
  <c r="I86" i="7"/>
  <c r="I22" i="7"/>
  <c r="I97" i="7"/>
  <c r="AD97" i="7" s="1"/>
  <c r="K8" i="6"/>
  <c r="I8" i="6"/>
  <c r="I10" i="6" s="1"/>
  <c r="I29" i="7" l="1"/>
  <c r="I30" i="7"/>
  <c r="M17" i="22"/>
  <c r="C49" i="17" s="1"/>
  <c r="M18" i="22"/>
  <c r="R14" i="22"/>
  <c r="Q14" i="22"/>
  <c r="N14" i="22"/>
  <c r="D12" i="17"/>
  <c r="C14" i="17"/>
  <c r="F12" i="16"/>
  <c r="Q37" i="22"/>
  <c r="R37" i="22"/>
  <c r="N37" i="22"/>
  <c r="D34" i="17"/>
  <c r="C35" i="17"/>
  <c r="R18" i="7"/>
  <c r="N18" i="7" s="1"/>
  <c r="C48" i="41"/>
  <c r="D48" i="41" s="1"/>
  <c r="AA48" i="41" s="1"/>
  <c r="AB48" i="41" s="1"/>
  <c r="J18" i="7"/>
  <c r="R16" i="7"/>
  <c r="N16" i="7" s="1"/>
  <c r="C46" i="41"/>
  <c r="J16" i="7"/>
  <c r="R17" i="7"/>
  <c r="N17" i="7" s="1"/>
  <c r="C47" i="41"/>
  <c r="J17" i="7"/>
  <c r="M41" i="41"/>
  <c r="H41" i="41"/>
  <c r="S41" i="41"/>
  <c r="I41" i="41"/>
  <c r="V41" i="41"/>
  <c r="R41" i="41"/>
  <c r="U41" i="41"/>
  <c r="P41" i="41"/>
  <c r="L41" i="41"/>
  <c r="Q41" i="41"/>
  <c r="G41" i="41"/>
  <c r="T41" i="41"/>
  <c r="F41" i="41"/>
  <c r="N41" i="41"/>
  <c r="K41" i="41"/>
  <c r="J41" i="41"/>
  <c r="O41" i="41"/>
  <c r="E41" i="41"/>
  <c r="C44" i="41"/>
  <c r="J14" i="7"/>
  <c r="R15" i="7"/>
  <c r="N15" i="7" s="1"/>
  <c r="C45" i="41"/>
  <c r="J15" i="7"/>
  <c r="R25" i="7"/>
  <c r="N25" i="7" s="1"/>
  <c r="C55" i="41"/>
  <c r="AB55" i="41" s="1"/>
  <c r="J25" i="7"/>
  <c r="R19" i="7"/>
  <c r="N19" i="7" s="1"/>
  <c r="C49" i="41"/>
  <c r="D49" i="41" s="1"/>
  <c r="AA49" i="41" s="1"/>
  <c r="AB49" i="41" s="1"/>
  <c r="J19" i="7"/>
  <c r="C122" i="41"/>
  <c r="J97" i="7"/>
  <c r="R13" i="7"/>
  <c r="C43" i="41"/>
  <c r="J13" i="7"/>
  <c r="C52" i="41"/>
  <c r="D52" i="41" s="1"/>
  <c r="AA52" i="41" s="1"/>
  <c r="AB52" i="41" s="1"/>
  <c r="J22" i="7"/>
  <c r="R86" i="7"/>
  <c r="N86" i="7" s="1"/>
  <c r="N91" i="7" s="1"/>
  <c r="C112" i="41"/>
  <c r="AA112" i="41" s="1"/>
  <c r="AB112" i="41" s="1"/>
  <c r="J86" i="7"/>
  <c r="R21" i="7"/>
  <c r="N21" i="7" s="1"/>
  <c r="C51" i="41"/>
  <c r="D51" i="41" s="1"/>
  <c r="J21" i="7"/>
  <c r="R22" i="7"/>
  <c r="N22" i="7" s="1"/>
  <c r="F56" i="16"/>
  <c r="F22" i="24"/>
  <c r="G22" i="24" s="1"/>
  <c r="I26" i="7"/>
  <c r="R106" i="7"/>
  <c r="L97" i="7"/>
  <c r="N18" i="22" l="1"/>
  <c r="N17" i="22"/>
  <c r="E122" i="41"/>
  <c r="AA122" i="41" s="1"/>
  <c r="AB122" i="41" s="1"/>
  <c r="AD26" i="7"/>
  <c r="C17" i="17"/>
  <c r="C16" i="17"/>
  <c r="E12" i="17"/>
  <c r="D14" i="17"/>
  <c r="G12" i="16"/>
  <c r="Q17" i="22"/>
  <c r="M19" i="22"/>
  <c r="R17" i="22"/>
  <c r="R18" i="22"/>
  <c r="Q18" i="22"/>
  <c r="E34" i="17"/>
  <c r="D35" i="17"/>
  <c r="AA42" i="41"/>
  <c r="AB42" i="41" s="1"/>
  <c r="L47" i="41"/>
  <c r="N47" i="41"/>
  <c r="K47" i="41"/>
  <c r="R47" i="41"/>
  <c r="Q47" i="41"/>
  <c r="P47" i="41"/>
  <c r="O47" i="41"/>
  <c r="F47" i="41"/>
  <c r="U47" i="41"/>
  <c r="J47" i="41"/>
  <c r="I47" i="41"/>
  <c r="H47" i="41"/>
  <c r="G47" i="41"/>
  <c r="T47" i="41"/>
  <c r="M47" i="41"/>
  <c r="E47" i="41"/>
  <c r="S47" i="41"/>
  <c r="V47" i="41"/>
  <c r="F45" i="41"/>
  <c r="U45" i="41"/>
  <c r="E45" i="41"/>
  <c r="G45" i="41"/>
  <c r="K45" i="41"/>
  <c r="O45" i="41"/>
  <c r="J45" i="41"/>
  <c r="H45" i="41"/>
  <c r="M45" i="41"/>
  <c r="P45" i="41"/>
  <c r="I45" i="41"/>
  <c r="T45" i="41"/>
  <c r="S45" i="41"/>
  <c r="R45" i="41"/>
  <c r="Q45" i="41"/>
  <c r="V45" i="41"/>
  <c r="L45" i="41"/>
  <c r="N45" i="41"/>
  <c r="M46" i="41"/>
  <c r="N46" i="41"/>
  <c r="F46" i="41"/>
  <c r="O46" i="41"/>
  <c r="G46" i="41"/>
  <c r="S46" i="41"/>
  <c r="R46" i="41"/>
  <c r="Q46" i="41"/>
  <c r="P46" i="41"/>
  <c r="T46" i="41"/>
  <c r="K46" i="41"/>
  <c r="J46" i="41"/>
  <c r="I46" i="41"/>
  <c r="H46" i="41"/>
  <c r="U46" i="41"/>
  <c r="L46" i="41"/>
  <c r="E46" i="41"/>
  <c r="V46" i="41"/>
  <c r="G44" i="41"/>
  <c r="F44" i="41"/>
  <c r="M44" i="41"/>
  <c r="E44" i="41"/>
  <c r="L44" i="41"/>
  <c r="K44" i="41"/>
  <c r="J44" i="41"/>
  <c r="O44" i="41"/>
  <c r="Q44" i="41"/>
  <c r="V44" i="41"/>
  <c r="P44" i="41"/>
  <c r="H44" i="41"/>
  <c r="N44" i="41"/>
  <c r="U44" i="41"/>
  <c r="T44" i="41"/>
  <c r="S44" i="41"/>
  <c r="R44" i="41"/>
  <c r="I44" i="41"/>
  <c r="AA41" i="41"/>
  <c r="AB41" i="41" s="1"/>
  <c r="F17" i="4"/>
  <c r="J26" i="7"/>
  <c r="AA51" i="41"/>
  <c r="AB51" i="41" s="1"/>
  <c r="H43" i="41"/>
  <c r="N43" i="41"/>
  <c r="R43" i="41"/>
  <c r="Q43" i="41"/>
  <c r="O43" i="41"/>
  <c r="K43" i="41"/>
  <c r="F43" i="41"/>
  <c r="J43" i="41"/>
  <c r="I43" i="41"/>
  <c r="U43" i="41"/>
  <c r="M43" i="41"/>
  <c r="T43" i="41"/>
  <c r="L43" i="41"/>
  <c r="G43" i="41"/>
  <c r="V43" i="41"/>
  <c r="E43" i="41"/>
  <c r="S43" i="41"/>
  <c r="P43" i="41"/>
  <c r="N26" i="7"/>
  <c r="R26" i="7"/>
  <c r="G56" i="16"/>
  <c r="R19" i="22" l="1"/>
  <c r="M21" i="22"/>
  <c r="G17" i="4"/>
  <c r="C18" i="17"/>
  <c r="C20" i="17" s="1"/>
  <c r="F12" i="17"/>
  <c r="E14" i="17"/>
  <c r="H12" i="16"/>
  <c r="D16" i="17"/>
  <c r="D17" i="17"/>
  <c r="F34" i="17"/>
  <c r="E35" i="17"/>
  <c r="AA47" i="41"/>
  <c r="AB47" i="41" s="1"/>
  <c r="AA45" i="41"/>
  <c r="AB45" i="41" s="1"/>
  <c r="AA46" i="41"/>
  <c r="AB46" i="41" s="1"/>
  <c r="AA44" i="41"/>
  <c r="AB44" i="41" s="1"/>
  <c r="C58" i="41"/>
  <c r="J29" i="7"/>
  <c r="AA43" i="41"/>
  <c r="H56" i="16"/>
  <c r="I50" i="7"/>
  <c r="R29" i="7"/>
  <c r="N21" i="22" l="1"/>
  <c r="F18" i="4"/>
  <c r="G18" i="4" s="1"/>
  <c r="AD50" i="7"/>
  <c r="D58" i="41"/>
  <c r="AA58" i="41" s="1"/>
  <c r="AB58" i="41" s="1"/>
  <c r="D18" i="17"/>
  <c r="D20" i="17" s="1"/>
  <c r="D37" i="17" s="1"/>
  <c r="D49" i="17" s="1"/>
  <c r="I12" i="16"/>
  <c r="E16" i="17"/>
  <c r="E17" i="17"/>
  <c r="G12" i="17"/>
  <c r="F14" i="17"/>
  <c r="B13" i="34"/>
  <c r="G34" i="17"/>
  <c r="F35" i="17"/>
  <c r="AB43" i="41"/>
  <c r="R30" i="7"/>
  <c r="N30" i="7" s="1"/>
  <c r="C59" i="41"/>
  <c r="D59" i="41" s="1"/>
  <c r="AA59" i="41" s="1"/>
  <c r="AB59" i="41" s="1"/>
  <c r="J30" i="7"/>
  <c r="J50" i="7" s="1"/>
  <c r="I56" i="16"/>
  <c r="N29" i="7"/>
  <c r="H12" i="17" l="1"/>
  <c r="G14" i="17"/>
  <c r="E18" i="17"/>
  <c r="E20" i="17" s="1"/>
  <c r="E37" i="17" s="1"/>
  <c r="E49" i="17" s="1"/>
  <c r="J12" i="16"/>
  <c r="F16" i="17"/>
  <c r="F17" i="17"/>
  <c r="H34" i="17"/>
  <c r="G35" i="17"/>
  <c r="N50" i="7"/>
  <c r="R50" i="7"/>
  <c r="J56" i="16"/>
  <c r="K12" i="16" l="1"/>
  <c r="G16" i="17"/>
  <c r="G17" i="17"/>
  <c r="I12" i="17"/>
  <c r="H14" i="17"/>
  <c r="F18" i="17"/>
  <c r="F20" i="17" s="1"/>
  <c r="F37" i="17" s="1"/>
  <c r="F49" i="17" s="1"/>
  <c r="I34" i="17"/>
  <c r="H35" i="17"/>
  <c r="K56" i="16"/>
  <c r="G18" i="17" l="1"/>
  <c r="G20" i="17" s="1"/>
  <c r="G37" i="17" s="1"/>
  <c r="G49" i="17" s="1"/>
  <c r="L12" i="16"/>
  <c r="H16" i="17"/>
  <c r="H17" i="17"/>
  <c r="J12" i="17"/>
  <c r="I14" i="17"/>
  <c r="J34" i="17"/>
  <c r="I35" i="17"/>
  <c r="L56" i="16"/>
  <c r="H18" i="17" l="1"/>
  <c r="H20" i="17" s="1"/>
  <c r="H37" i="17" s="1"/>
  <c r="H49" i="17" s="1"/>
  <c r="K12" i="17"/>
  <c r="J14" i="17"/>
  <c r="M12" i="16"/>
  <c r="I16" i="17"/>
  <c r="I17" i="17"/>
  <c r="K34" i="17"/>
  <c r="J35" i="17"/>
  <c r="M56" i="16"/>
  <c r="N12" i="16" l="1"/>
  <c r="J16" i="17"/>
  <c r="J17" i="17"/>
  <c r="I18" i="17"/>
  <c r="I20" i="17" s="1"/>
  <c r="I37" i="17" s="1"/>
  <c r="I49" i="17" s="1"/>
  <c r="L12" i="17"/>
  <c r="K14" i="17"/>
  <c r="L34" i="17"/>
  <c r="K35" i="17"/>
  <c r="N56" i="16"/>
  <c r="J18" i="17" l="1"/>
  <c r="J20" i="17" s="1"/>
  <c r="J37" i="17" s="1"/>
  <c r="J49" i="17" s="1"/>
  <c r="O12" i="16"/>
  <c r="K17" i="17"/>
  <c r="K16" i="17"/>
  <c r="M12" i="17"/>
  <c r="L14" i="17"/>
  <c r="M34" i="17"/>
  <c r="L35" i="17"/>
  <c r="O56" i="16"/>
  <c r="K18" i="17" l="1"/>
  <c r="K20" i="17" s="1"/>
  <c r="K37" i="17" s="1"/>
  <c r="K49" i="17" s="1"/>
  <c r="P12" i="16"/>
  <c r="N12" i="17"/>
  <c r="M14" i="17"/>
  <c r="M16" i="17" s="1"/>
  <c r="M18" i="17" s="1"/>
  <c r="M20" i="17" s="1"/>
  <c r="L17" i="17"/>
  <c r="L16" i="17"/>
  <c r="N34" i="17"/>
  <c r="M35" i="17"/>
  <c r="P56" i="16"/>
  <c r="O12" i="17" l="1"/>
  <c r="N14" i="17"/>
  <c r="N16" i="17" s="1"/>
  <c r="N18" i="17" s="1"/>
  <c r="N20" i="17" s="1"/>
  <c r="Q12" i="16"/>
  <c r="M37" i="17"/>
  <c r="L18" i="17"/>
  <c r="L20" i="17" s="1"/>
  <c r="L37" i="17" s="1"/>
  <c r="L49" i="17" s="1"/>
  <c r="O34" i="17"/>
  <c r="N35" i="17"/>
  <c r="Q56" i="16"/>
  <c r="P12" i="17" l="1"/>
  <c r="O14" i="17"/>
  <c r="O16" i="17" s="1"/>
  <c r="O18" i="17" s="1"/>
  <c r="O20" i="17" s="1"/>
  <c r="R12" i="16"/>
  <c r="N37" i="17"/>
  <c r="P34" i="17"/>
  <c r="O35" i="17"/>
  <c r="R56" i="16"/>
  <c r="S12" i="16" l="1"/>
  <c r="O37" i="17"/>
  <c r="Q12" i="17"/>
  <c r="Q14" i="17" s="1"/>
  <c r="Q16" i="17" s="1"/>
  <c r="Q18" i="17" s="1"/>
  <c r="Q20" i="17" s="1"/>
  <c r="P14" i="17"/>
  <c r="P16" i="17" s="1"/>
  <c r="P18" i="17" s="1"/>
  <c r="P20" i="17" s="1"/>
  <c r="Q34" i="17"/>
  <c r="Q35" i="17" s="1"/>
  <c r="P35" i="17"/>
  <c r="S56" i="16"/>
  <c r="P37" i="17" l="1"/>
  <c r="Q37" i="17"/>
  <c r="B3" i="28"/>
  <c r="B5" i="28" s="1"/>
  <c r="B9" i="28" s="1"/>
  <c r="B22" i="28" s="1"/>
  <c r="B24" i="28" s="1"/>
  <c r="F21" i="24" l="1"/>
  <c r="G21" i="24" s="1"/>
  <c r="D74" i="22" l="1"/>
  <c r="I35" i="39" l="1"/>
  <c r="I22" i="39" s="1"/>
  <c r="I40" i="39"/>
  <c r="I15" i="39" s="1"/>
  <c r="J40" i="39"/>
  <c r="J35" i="39"/>
  <c r="I50" i="39" l="1"/>
  <c r="I56" i="39"/>
  <c r="K40" i="39"/>
  <c r="K35" i="39"/>
  <c r="J22" i="39"/>
  <c r="J50" i="39"/>
  <c r="J15" i="39"/>
  <c r="J56" i="39"/>
  <c r="K50" i="39" l="1"/>
  <c r="K22" i="39"/>
  <c r="K15" i="39"/>
  <c r="K56" i="39"/>
  <c r="R91" i="7" l="1"/>
  <c r="C111" i="41"/>
  <c r="D111" i="41" s="1"/>
  <c r="J85" i="7"/>
  <c r="J91" i="7" s="1"/>
  <c r="I91" i="7"/>
  <c r="AD91" i="7" s="1"/>
  <c r="F20" i="4" l="1"/>
  <c r="G20" i="4" s="1"/>
  <c r="AA111" i="41"/>
  <c r="AB111" i="41" s="1"/>
  <c r="I13" i="6"/>
  <c r="N19" i="22" l="1"/>
  <c r="R21" i="22" l="1"/>
  <c r="Q19" i="22"/>
  <c r="C37" i="17"/>
  <c r="N40" i="22" l="1"/>
  <c r="M40" i="22"/>
  <c r="Q21" i="22"/>
  <c r="Z16" i="4" l="1"/>
  <c r="AA16" i="4" s="1"/>
  <c r="M52" i="22"/>
  <c r="R40" i="22"/>
  <c r="C6" i="43"/>
  <c r="Q40" i="22"/>
  <c r="C60" i="17" l="1"/>
  <c r="C109" i="17" s="1"/>
  <c r="C111" i="17" s="1"/>
  <c r="D60" i="17" l="1"/>
  <c r="D109" i="17" s="1"/>
  <c r="D111" i="17" s="1"/>
  <c r="E60" i="17" l="1"/>
  <c r="E109" i="17" s="1"/>
  <c r="E111" i="17" s="1"/>
  <c r="F60" i="17" l="1"/>
  <c r="F109" i="17" s="1"/>
  <c r="F111" i="17" s="1"/>
  <c r="G60" i="17" l="1"/>
  <c r="G109" i="17" s="1"/>
  <c r="G111" i="17" s="1"/>
  <c r="H60" i="17" l="1"/>
  <c r="H109" i="17" s="1"/>
  <c r="H111" i="17" s="1"/>
  <c r="I60" i="17" l="1"/>
  <c r="I109" i="17" s="1"/>
  <c r="I111" i="17" s="1"/>
  <c r="J60" i="17" l="1"/>
  <c r="J109" i="17" s="1"/>
  <c r="J111" i="17" s="1"/>
  <c r="K60" i="17" l="1"/>
  <c r="K109" i="17" s="1"/>
  <c r="K111" i="17" s="1"/>
  <c r="L60" i="17" l="1"/>
  <c r="L109" i="17" s="1"/>
  <c r="L111" i="17" s="1"/>
  <c r="M49" i="17"/>
  <c r="N49" i="17" l="1"/>
  <c r="M60" i="17"/>
  <c r="M109" i="17" s="1"/>
  <c r="M111" i="17" s="1"/>
  <c r="O49" i="17" l="1"/>
  <c r="N60" i="17"/>
  <c r="N109" i="17" s="1"/>
  <c r="N111" i="17" s="1"/>
  <c r="P49" i="17" l="1"/>
  <c r="O60" i="17"/>
  <c r="O109" i="17" s="1"/>
  <c r="O111" i="17" s="1"/>
  <c r="P60" i="17" l="1"/>
  <c r="P109" i="17" s="1"/>
  <c r="P111" i="17" s="1"/>
  <c r="Q49" i="17"/>
  <c r="Q60" i="17" s="1"/>
  <c r="Q109" i="17" s="1"/>
  <c r="Q111" i="17" s="1"/>
  <c r="V161" i="41" l="1"/>
  <c r="U161" i="41"/>
  <c r="T161" i="41"/>
  <c r="S161" i="41"/>
  <c r="R161" i="41"/>
  <c r="Q161" i="41"/>
  <c r="P161" i="41"/>
  <c r="J121" i="7" l="1"/>
  <c r="J122" i="7" s="1"/>
  <c r="I122" i="7"/>
  <c r="F24" i="4" s="1"/>
  <c r="G24" i="4" s="1"/>
  <c r="R121" i="7"/>
  <c r="N121" i="7" s="1"/>
  <c r="N122" i="7" s="1"/>
  <c r="R122" i="7" l="1"/>
  <c r="C142" i="41"/>
  <c r="T142" i="41" l="1"/>
  <c r="T146" i="41" s="1"/>
  <c r="M142" i="41"/>
  <c r="M146" i="41" s="1"/>
  <c r="L142" i="41"/>
  <c r="L146" i="41" s="1"/>
  <c r="V142" i="41"/>
  <c r="V146" i="41" s="1"/>
  <c r="P142" i="41"/>
  <c r="P146" i="41" s="1"/>
  <c r="J142" i="41"/>
  <c r="J146" i="41" s="1"/>
  <c r="R142" i="41"/>
  <c r="R146" i="41" s="1"/>
  <c r="G142" i="41"/>
  <c r="G146" i="41" s="1"/>
  <c r="D142" i="41"/>
  <c r="N142" i="41"/>
  <c r="N146" i="41" s="1"/>
  <c r="U142" i="41"/>
  <c r="U146" i="41" s="1"/>
  <c r="O142" i="41"/>
  <c r="O146" i="41" s="1"/>
  <c r="E142" i="41"/>
  <c r="E146" i="41" s="1"/>
  <c r="S142" i="41"/>
  <c r="S146" i="41" s="1"/>
  <c r="W142" i="41"/>
  <c r="K142" i="41"/>
  <c r="K146" i="41" s="1"/>
  <c r="H142" i="41"/>
  <c r="H146" i="41" s="1"/>
  <c r="Q142" i="41"/>
  <c r="Q146" i="41" s="1"/>
  <c r="Y142" i="41"/>
  <c r="I142" i="41"/>
  <c r="I146" i="41" s="1"/>
  <c r="X142" i="41"/>
  <c r="F142" i="41"/>
  <c r="F146" i="41" s="1"/>
  <c r="AF14" i="41" l="1"/>
  <c r="S149" i="41"/>
  <c r="AA142" i="41"/>
  <c r="AB142" i="41" s="1"/>
  <c r="C35" i="36"/>
  <c r="C40" i="36" s="1"/>
  <c r="L151" i="37" l="1"/>
  <c r="G6" i="8"/>
  <c r="H6" i="8"/>
  <c r="S6" i="8" s="1"/>
  <c r="V151" i="37" l="1"/>
  <c r="G7" i="8"/>
  <c r="H7" i="8" l="1"/>
  <c r="S7" i="8" s="1"/>
  <c r="L152" i="37"/>
  <c r="V152" i="37"/>
  <c r="V153" i="37"/>
  <c r="G8" i="8"/>
  <c r="I181" i="37" l="1"/>
  <c r="O8" i="22" s="1"/>
  <c r="L153" i="37"/>
  <c r="H8" i="8"/>
  <c r="S8" i="8" s="1"/>
  <c r="S14" i="8" s="1"/>
  <c r="AM11" i="40" s="1"/>
  <c r="P8" i="22" l="1"/>
  <c r="O14" i="22"/>
  <c r="S8" i="22"/>
  <c r="T8" i="22" s="1"/>
  <c r="E8" i="16"/>
  <c r="E14" i="16" s="1"/>
  <c r="E16" i="16" s="1"/>
  <c r="H14" i="8"/>
  <c r="H39" i="8" s="1"/>
  <c r="AM12" i="40"/>
  <c r="Q13" i="40"/>
  <c r="P14" i="22" l="1"/>
  <c r="O17" i="22"/>
  <c r="P17" i="22" s="1"/>
  <c r="O18" i="22"/>
  <c r="P18" i="22" s="1"/>
  <c r="E17" i="16"/>
  <c r="S14" i="22"/>
  <c r="T14" i="22" s="1"/>
  <c r="F8" i="16"/>
  <c r="F14" i="16" s="1"/>
  <c r="AM13" i="40"/>
  <c r="Q34" i="40"/>
  <c r="Q16" i="40"/>
  <c r="Q17" i="40"/>
  <c r="Q22" i="40"/>
  <c r="Q26" i="40"/>
  <c r="Q18" i="40"/>
  <c r="Q19" i="40"/>
  <c r="Q23" i="40"/>
  <c r="Q15" i="40"/>
  <c r="Q20" i="40"/>
  <c r="Q24" i="40"/>
  <c r="Q21" i="40"/>
  <c r="Q25" i="40"/>
  <c r="E18" i="16" l="1"/>
  <c r="E20" i="16" s="1"/>
  <c r="E37" i="16" s="1"/>
  <c r="F16" i="16"/>
  <c r="O19" i="22"/>
  <c r="O21" i="22" s="1"/>
  <c r="S18" i="22"/>
  <c r="T18" i="22" s="1"/>
  <c r="S17" i="22"/>
  <c r="T17" i="22" s="1"/>
  <c r="G8" i="16"/>
  <c r="G14" i="16" s="1"/>
  <c r="Q28" i="40"/>
  <c r="F17" i="16"/>
  <c r="Q37" i="40"/>
  <c r="Q41" i="40"/>
  <c r="Q45" i="40"/>
  <c r="Q38" i="40"/>
  <c r="Q42" i="40"/>
  <c r="Q46" i="40"/>
  <c r="Q39" i="40"/>
  <c r="Q43" i="40"/>
  <c r="Q47" i="40"/>
  <c r="Q36" i="40"/>
  <c r="Q40" i="40"/>
  <c r="Q44" i="40"/>
  <c r="Q55" i="40"/>
  <c r="AM14" i="40"/>
  <c r="S19" i="22" l="1"/>
  <c r="T19" i="22" s="1"/>
  <c r="G16" i="16"/>
  <c r="P19" i="22"/>
  <c r="H8" i="16"/>
  <c r="I8" i="16" s="1"/>
  <c r="F18" i="16"/>
  <c r="Q76" i="40"/>
  <c r="AM15" i="40"/>
  <c r="G17" i="16"/>
  <c r="Q60" i="40"/>
  <c r="Q64" i="40"/>
  <c r="Q68" i="40"/>
  <c r="Q57" i="40"/>
  <c r="Q61" i="40"/>
  <c r="Q65" i="40"/>
  <c r="Q58" i="40"/>
  <c r="Q62" i="40"/>
  <c r="Q66" i="40"/>
  <c r="Q59" i="40"/>
  <c r="Q63" i="40"/>
  <c r="Q67" i="40"/>
  <c r="Q49" i="40"/>
  <c r="O40" i="22"/>
  <c r="O52" i="22" s="1"/>
  <c r="P21" i="22"/>
  <c r="P40" i="22" s="1"/>
  <c r="S21" i="22"/>
  <c r="T21" i="22" s="1"/>
  <c r="AB16" i="4" l="1"/>
  <c r="AC16" i="4" s="1"/>
  <c r="O64" i="22"/>
  <c r="O249" i="22" s="1"/>
  <c r="AB22" i="4" s="1"/>
  <c r="E49" i="16"/>
  <c r="F49" i="16" s="1"/>
  <c r="G49" i="16" s="1"/>
  <c r="H49" i="16" s="1"/>
  <c r="I49" i="16" s="1"/>
  <c r="J49" i="16" s="1"/>
  <c r="K49" i="16" s="1"/>
  <c r="L49" i="16" s="1"/>
  <c r="M49" i="16" s="1"/>
  <c r="N49" i="16" s="1"/>
  <c r="O49" i="16" s="1"/>
  <c r="P49" i="16" s="1"/>
  <c r="Q49" i="16" s="1"/>
  <c r="R49" i="16" s="1"/>
  <c r="S49" i="16" s="1"/>
  <c r="F20" i="16"/>
  <c r="F37" i="16" s="1"/>
  <c r="H14" i="16"/>
  <c r="G18" i="16"/>
  <c r="J8" i="16"/>
  <c r="I14" i="16"/>
  <c r="Q70" i="40"/>
  <c r="Q79" i="40"/>
  <c r="Q83" i="40"/>
  <c r="Q87" i="40"/>
  <c r="Q80" i="40"/>
  <c r="Q84" i="40"/>
  <c r="Q88" i="40"/>
  <c r="Q81" i="40"/>
  <c r="Q85" i="40"/>
  <c r="Q89" i="40"/>
  <c r="Q78" i="40"/>
  <c r="Q82" i="40"/>
  <c r="Q86" i="40"/>
  <c r="S40" i="22"/>
  <c r="T40" i="22" s="1"/>
  <c r="C6" i="36"/>
  <c r="E61" i="16" l="1"/>
  <c r="E110" i="16" s="1"/>
  <c r="E114" i="16" s="1"/>
  <c r="P249" i="22"/>
  <c r="O253" i="22"/>
  <c r="AB26" i="4" s="1"/>
  <c r="M64" i="22"/>
  <c r="M249" i="22" s="1"/>
  <c r="Z22" i="4" s="1"/>
  <c r="R52" i="22"/>
  <c r="N52" i="22"/>
  <c r="N64" i="22" s="1"/>
  <c r="Q52" i="22"/>
  <c r="F61" i="16"/>
  <c r="F110" i="16" s="1"/>
  <c r="F114" i="16" s="1"/>
  <c r="I16" i="16"/>
  <c r="H17" i="16"/>
  <c r="H16" i="16"/>
  <c r="G20" i="16"/>
  <c r="G37" i="16" s="1"/>
  <c r="I17" i="16"/>
  <c r="J14" i="16"/>
  <c r="K8" i="16"/>
  <c r="P52" i="22"/>
  <c r="P64" i="22" s="1"/>
  <c r="S52" i="22"/>
  <c r="T52" i="22" s="1"/>
  <c r="Q91" i="40"/>
  <c r="P253" i="22" l="1"/>
  <c r="AC26" i="4" s="1"/>
  <c r="AC22" i="4"/>
  <c r="M253" i="22"/>
  <c r="Z26" i="4" s="1"/>
  <c r="N249" i="22"/>
  <c r="H18" i="16"/>
  <c r="H20" i="16" s="1"/>
  <c r="H37" i="16" s="1"/>
  <c r="R64" i="22"/>
  <c r="M115" i="22"/>
  <c r="M236" i="22" s="1"/>
  <c r="Z32" i="4" s="1"/>
  <c r="AA32" i="4" s="1"/>
  <c r="Q64" i="22"/>
  <c r="G61" i="16"/>
  <c r="G110" i="16" s="1"/>
  <c r="G114" i="16" s="1"/>
  <c r="J16" i="16"/>
  <c r="I18" i="16"/>
  <c r="K14" i="16"/>
  <c r="L8" i="16"/>
  <c r="J17" i="16"/>
  <c r="S64" i="22"/>
  <c r="T64" i="22"/>
  <c r="O115" i="22"/>
  <c r="N253" i="22" l="1"/>
  <c r="AA26" i="4" s="1"/>
  <c r="AA22" i="4"/>
  <c r="R115" i="22"/>
  <c r="C7" i="43"/>
  <c r="C8" i="43" s="1"/>
  <c r="Q115" i="22"/>
  <c r="N115" i="22"/>
  <c r="H61" i="16"/>
  <c r="H110" i="16" s="1"/>
  <c r="H114" i="16" s="1"/>
  <c r="K16" i="16"/>
  <c r="I20" i="16"/>
  <c r="I37" i="16" s="1"/>
  <c r="J18" i="16"/>
  <c r="L14" i="16"/>
  <c r="M8" i="16"/>
  <c r="P115" i="22"/>
  <c r="C7" i="36"/>
  <c r="C8" i="36" s="1"/>
  <c r="S115" i="22"/>
  <c r="T115" i="22" s="1"/>
  <c r="AP11" i="40"/>
  <c r="O236" i="22"/>
  <c r="AB32" i="4" s="1"/>
  <c r="AC32" i="4" s="1"/>
  <c r="K17" i="16"/>
  <c r="C10" i="43" l="1"/>
  <c r="Q236" i="22"/>
  <c r="R236" i="22" s="1"/>
  <c r="I61" i="16"/>
  <c r="I110" i="16" s="1"/>
  <c r="I114" i="16" s="1"/>
  <c r="J20" i="16"/>
  <c r="J37" i="16" s="1"/>
  <c r="L16" i="16"/>
  <c r="K18" i="16"/>
  <c r="M14" i="16"/>
  <c r="N8" i="16"/>
  <c r="X13" i="40"/>
  <c r="AP12" i="40"/>
  <c r="L17" i="16"/>
  <c r="C10" i="36"/>
  <c r="S236" i="22"/>
  <c r="T236" i="22" s="1"/>
  <c r="C12" i="43" l="1"/>
  <c r="C14" i="43" s="1"/>
  <c r="C16" i="43" s="1"/>
  <c r="C18" i="43" s="1"/>
  <c r="C33" i="43" s="1"/>
  <c r="C20" i="43"/>
  <c r="J61" i="16"/>
  <c r="J110" i="16" s="1"/>
  <c r="J114" i="16" s="1"/>
  <c r="K20" i="16"/>
  <c r="K37" i="16" s="1"/>
  <c r="M16" i="16"/>
  <c r="L18" i="16"/>
  <c r="N14" i="16"/>
  <c r="O8" i="16"/>
  <c r="X21" i="40"/>
  <c r="X25" i="40"/>
  <c r="X22" i="40"/>
  <c r="X26" i="40"/>
  <c r="X19" i="40"/>
  <c r="X23" i="40"/>
  <c r="X20" i="40"/>
  <c r="X24" i="40"/>
  <c r="M17" i="16"/>
  <c r="AP13" i="40"/>
  <c r="X34" i="40"/>
  <c r="C12" i="36"/>
  <c r="C14" i="36" s="1"/>
  <c r="C16" i="36" s="1"/>
  <c r="C18" i="36" s="1"/>
  <c r="C38" i="36" s="1"/>
  <c r="C20" i="36"/>
  <c r="C31" i="36" s="1"/>
  <c r="C21" i="43" l="1"/>
  <c r="C22" i="43" s="1"/>
  <c r="C31" i="43"/>
  <c r="C34" i="43" s="1"/>
  <c r="C35" i="43" s="1"/>
  <c r="C36" i="43" s="1"/>
  <c r="K61" i="16"/>
  <c r="K110" i="16" s="1"/>
  <c r="K114" i="16" s="1"/>
  <c r="N16" i="16"/>
  <c r="L20" i="16"/>
  <c r="L37" i="16" s="1"/>
  <c r="M18" i="16"/>
  <c r="X28" i="40"/>
  <c r="X36" i="40"/>
  <c r="X40" i="40"/>
  <c r="X44" i="40"/>
  <c r="X37" i="40"/>
  <c r="X41" i="40"/>
  <c r="X45" i="40"/>
  <c r="X38" i="40"/>
  <c r="X42" i="40"/>
  <c r="X46" i="40"/>
  <c r="X39" i="40"/>
  <c r="X43" i="40"/>
  <c r="X47" i="40"/>
  <c r="X55" i="40"/>
  <c r="AP14" i="40"/>
  <c r="C39" i="36"/>
  <c r="C21" i="36"/>
  <c r="C22" i="36" s="1"/>
  <c r="O14" i="16"/>
  <c r="P8" i="16"/>
  <c r="N17" i="16"/>
  <c r="F6" i="43" l="1"/>
  <c r="Q16" i="24"/>
  <c r="F77" i="37"/>
  <c r="D30" i="35" s="1"/>
  <c r="L61" i="16"/>
  <c r="L110" i="16" s="1"/>
  <c r="L114" i="16" s="1"/>
  <c r="M20" i="16"/>
  <c r="M37" i="16" s="1"/>
  <c r="O16" i="16"/>
  <c r="N18" i="16"/>
  <c r="X76" i="40"/>
  <c r="AP15" i="40"/>
  <c r="O17" i="16"/>
  <c r="X59" i="40"/>
  <c r="X63" i="40"/>
  <c r="X67" i="40"/>
  <c r="X60" i="40"/>
  <c r="X64" i="40"/>
  <c r="X68" i="40"/>
  <c r="X57" i="40"/>
  <c r="X61" i="40"/>
  <c r="X65" i="40"/>
  <c r="X58" i="40"/>
  <c r="X62" i="40"/>
  <c r="X66" i="40"/>
  <c r="Z64" i="7"/>
  <c r="Z61" i="7"/>
  <c r="Z62" i="7"/>
  <c r="Z63" i="7"/>
  <c r="Z65" i="7"/>
  <c r="Z53" i="7"/>
  <c r="Z56" i="7" s="1"/>
  <c r="C41" i="36"/>
  <c r="C42" i="36" s="1"/>
  <c r="X49" i="40"/>
  <c r="Q8" i="16"/>
  <c r="P14" i="16"/>
  <c r="E30" i="35" l="1"/>
  <c r="D36" i="35"/>
  <c r="F26" i="24"/>
  <c r="S20" i="24"/>
  <c r="T20" i="24" s="1"/>
  <c r="Q24" i="24"/>
  <c r="S16" i="24"/>
  <c r="F12" i="43"/>
  <c r="F9" i="43"/>
  <c r="M61" i="16"/>
  <c r="M110" i="16" s="1"/>
  <c r="M114" i="16" s="1"/>
  <c r="N20" i="16"/>
  <c r="N37" i="16" s="1"/>
  <c r="P16" i="16"/>
  <c r="O18" i="16"/>
  <c r="F6" i="36"/>
  <c r="I103" i="7" s="1"/>
  <c r="C127" i="41" s="1"/>
  <c r="D127" i="41" s="1"/>
  <c r="AA127" i="41" s="1"/>
  <c r="AB127" i="41" s="1"/>
  <c r="X70" i="40"/>
  <c r="P17" i="16"/>
  <c r="Z68" i="7"/>
  <c r="F71" i="7" s="1"/>
  <c r="R8" i="16"/>
  <c r="Q14" i="16"/>
  <c r="X78" i="40"/>
  <c r="X82" i="40"/>
  <c r="X86" i="40"/>
  <c r="X79" i="40"/>
  <c r="X83" i="40"/>
  <c r="X87" i="40"/>
  <c r="X80" i="40"/>
  <c r="X84" i="40"/>
  <c r="X88" i="40"/>
  <c r="X81" i="40"/>
  <c r="X85" i="40"/>
  <c r="X89" i="40"/>
  <c r="R103" i="7" l="1"/>
  <c r="N103" i="7" s="1"/>
  <c r="N109" i="7" s="1"/>
  <c r="F40" i="4"/>
  <c r="C26" i="41" s="1"/>
  <c r="I26" i="41" s="1"/>
  <c r="J103" i="7"/>
  <c r="J109" i="7" s="1"/>
  <c r="I109" i="7"/>
  <c r="F22" i="4" s="1"/>
  <c r="G22" i="4" s="1"/>
  <c r="G12" i="43"/>
  <c r="Q27" i="24"/>
  <c r="E36" i="35"/>
  <c r="H26" i="35"/>
  <c r="I26" i="35" s="1"/>
  <c r="F19" i="24"/>
  <c r="H12" i="43"/>
  <c r="N61" i="16"/>
  <c r="N110" i="16" s="1"/>
  <c r="N114" i="16" s="1"/>
  <c r="O20" i="16"/>
  <c r="O37" i="16" s="1"/>
  <c r="Q16" i="16"/>
  <c r="P18" i="16"/>
  <c r="X91" i="40"/>
  <c r="Q17" i="16"/>
  <c r="R14" i="16"/>
  <c r="S8" i="16"/>
  <c r="S14" i="16" s="1"/>
  <c r="F9" i="36"/>
  <c r="F12" i="36"/>
  <c r="E119" i="16" s="1"/>
  <c r="Q16" i="4"/>
  <c r="C119" i="16"/>
  <c r="AD109" i="7" l="1"/>
  <c r="G26" i="41"/>
  <c r="R109" i="7"/>
  <c r="R118" i="7" s="1"/>
  <c r="R124" i="7" s="1"/>
  <c r="Q45" i="4" s="1"/>
  <c r="S45" i="4" s="1"/>
  <c r="T45" i="4" s="1"/>
  <c r="J26" i="41"/>
  <c r="K26" i="41"/>
  <c r="M26" i="41"/>
  <c r="F26" i="41"/>
  <c r="E26" i="41"/>
  <c r="N26" i="41"/>
  <c r="H26" i="41"/>
  <c r="O26" i="41"/>
  <c r="L26" i="41"/>
  <c r="G19" i="24"/>
  <c r="G23" i="24" s="1"/>
  <c r="F23" i="24"/>
  <c r="Q23" i="24"/>
  <c r="Q28" i="24"/>
  <c r="I12" i="43"/>
  <c r="J12" i="43" s="1"/>
  <c r="F13" i="43" s="1"/>
  <c r="H13" i="43" s="1"/>
  <c r="G13" i="43"/>
  <c r="G14" i="43" s="1"/>
  <c r="G15" i="43" s="1"/>
  <c r="G16" i="43" s="1"/>
  <c r="G17" i="43" s="1"/>
  <c r="G18" i="43" s="1"/>
  <c r="G19" i="43" s="1"/>
  <c r="G20" i="43" s="1"/>
  <c r="G21" i="43" s="1"/>
  <c r="G22" i="43" s="1"/>
  <c r="G23" i="43" s="1"/>
  <c r="G24" i="43" s="1"/>
  <c r="G25" i="43" s="1"/>
  <c r="G26" i="43" s="1"/>
  <c r="G27" i="43" s="1"/>
  <c r="G28" i="43" s="1"/>
  <c r="G29" i="43" s="1"/>
  <c r="G30" i="43" s="1"/>
  <c r="G31" i="43" s="1"/>
  <c r="G32" i="43" s="1"/>
  <c r="G33" i="43" s="1"/>
  <c r="G34" i="43" s="1"/>
  <c r="G35" i="43" s="1"/>
  <c r="G36" i="43" s="1"/>
  <c r="G37" i="43" s="1"/>
  <c r="G38" i="43" s="1"/>
  <c r="G39" i="43" s="1"/>
  <c r="G40" i="43" s="1"/>
  <c r="G41" i="43" s="1"/>
  <c r="O61" i="16"/>
  <c r="O110" i="16" s="1"/>
  <c r="O114" i="16" s="1"/>
  <c r="P20" i="16"/>
  <c r="P37" i="16" s="1"/>
  <c r="R16" i="16"/>
  <c r="S16" i="16"/>
  <c r="Q18" i="16"/>
  <c r="S17" i="16"/>
  <c r="R17" i="16"/>
  <c r="G12" i="36"/>
  <c r="C122" i="16"/>
  <c r="I65" i="7"/>
  <c r="F30" i="4"/>
  <c r="I64" i="7"/>
  <c r="T16" i="4"/>
  <c r="I72" i="7"/>
  <c r="H12" i="36"/>
  <c r="E121" i="16" s="1"/>
  <c r="K5" i="6" l="1"/>
  <c r="K6" i="6" s="1"/>
  <c r="G6" i="6" s="1"/>
  <c r="Q44" i="4"/>
  <c r="Q46" i="4" s="1"/>
  <c r="AA26" i="41"/>
  <c r="AB26" i="41" s="1"/>
  <c r="I13" i="43"/>
  <c r="J13" i="43" s="1"/>
  <c r="F14" i="43" s="1"/>
  <c r="H14" i="43" s="1"/>
  <c r="F28" i="24"/>
  <c r="C113" i="17"/>
  <c r="P61" i="16"/>
  <c r="P110" i="16" s="1"/>
  <c r="P114" i="16" s="1"/>
  <c r="Q20" i="16"/>
  <c r="Q37" i="16" s="1"/>
  <c r="R18" i="16"/>
  <c r="J72" i="7"/>
  <c r="L72" i="7"/>
  <c r="C99" i="41"/>
  <c r="D99" i="41" s="1"/>
  <c r="B55" i="34"/>
  <c r="S18" i="16"/>
  <c r="G13" i="36"/>
  <c r="Q23" i="4"/>
  <c r="I112" i="7" s="1"/>
  <c r="I12" i="36"/>
  <c r="I76" i="7"/>
  <c r="C91" i="41"/>
  <c r="J64" i="7"/>
  <c r="L64" i="7"/>
  <c r="B47" i="34"/>
  <c r="C16" i="41"/>
  <c r="C92" i="41"/>
  <c r="X92" i="41" s="1"/>
  <c r="AA92" i="41" s="1"/>
  <c r="AB92" i="41" s="1"/>
  <c r="J65" i="7"/>
  <c r="L65" i="7"/>
  <c r="B48" i="34"/>
  <c r="G5" i="6" l="1"/>
  <c r="G10" i="6" s="1"/>
  <c r="G44" i="4" s="1"/>
  <c r="K10" i="6"/>
  <c r="K13" i="6" s="1"/>
  <c r="M10" i="6" s="1"/>
  <c r="D113" i="17"/>
  <c r="D117" i="17" s="1"/>
  <c r="H28" i="39" s="1"/>
  <c r="C117" i="17"/>
  <c r="C118" i="17"/>
  <c r="F29" i="24"/>
  <c r="G28" i="24" s="1"/>
  <c r="F28" i="39"/>
  <c r="S41" i="24"/>
  <c r="S42" i="24" s="1"/>
  <c r="F32" i="24"/>
  <c r="F33" i="24"/>
  <c r="I14" i="43"/>
  <c r="J14" i="43" s="1"/>
  <c r="F15" i="43" s="1"/>
  <c r="H15" i="43" s="1"/>
  <c r="Q61" i="16"/>
  <c r="Q110" i="16" s="1"/>
  <c r="Q114" i="16" s="1"/>
  <c r="S20" i="16"/>
  <c r="S37" i="16" s="1"/>
  <c r="R20" i="16"/>
  <c r="R37" i="16" s="1"/>
  <c r="L76" i="7"/>
  <c r="J76" i="7"/>
  <c r="AA99" i="41"/>
  <c r="AB99" i="41" s="1"/>
  <c r="X91" i="41"/>
  <c r="E120" i="16"/>
  <c r="E122" i="16" s="1"/>
  <c r="J12" i="36"/>
  <c r="F13" i="36" s="1"/>
  <c r="AD76" i="7"/>
  <c r="AD112" i="7" s="1"/>
  <c r="D33" i="36" s="1"/>
  <c r="F19" i="4"/>
  <c r="X16" i="41"/>
  <c r="C135" i="41"/>
  <c r="X135" i="41" s="1"/>
  <c r="AA135" i="41" s="1"/>
  <c r="J112" i="7"/>
  <c r="L112" i="7"/>
  <c r="G14" i="36"/>
  <c r="G13" i="6" l="1"/>
  <c r="AA13" i="40" s="1"/>
  <c r="AM40" i="40"/>
  <c r="AM41" i="40" s="1"/>
  <c r="Z36" i="4"/>
  <c r="AA36" i="4" s="1"/>
  <c r="G28" i="39"/>
  <c r="F30" i="39" s="1"/>
  <c r="H40" i="39"/>
  <c r="H35" i="39"/>
  <c r="D118" i="17"/>
  <c r="S43" i="24"/>
  <c r="E113" i="17"/>
  <c r="F36" i="39"/>
  <c r="F40" i="39"/>
  <c r="F35" i="39"/>
  <c r="I15" i="43"/>
  <c r="J15" i="43" s="1"/>
  <c r="F16" i="43" s="1"/>
  <c r="H16" i="43" s="1"/>
  <c r="G26" i="24"/>
  <c r="F49" i="24"/>
  <c r="F51" i="24"/>
  <c r="F50" i="24"/>
  <c r="G27" i="24"/>
  <c r="F47" i="24"/>
  <c r="F48" i="24"/>
  <c r="T23" i="24"/>
  <c r="U42" i="24"/>
  <c r="F54" i="24" s="1"/>
  <c r="F36" i="24"/>
  <c r="U45" i="24"/>
  <c r="U44" i="24"/>
  <c r="U43" i="24"/>
  <c r="T41" i="24"/>
  <c r="T45" i="24"/>
  <c r="T42" i="24"/>
  <c r="T44" i="24"/>
  <c r="F35" i="24"/>
  <c r="T43" i="24"/>
  <c r="R61" i="16"/>
  <c r="R110" i="16" s="1"/>
  <c r="R114" i="16" s="1"/>
  <c r="S61" i="16"/>
  <c r="S110" i="16" s="1"/>
  <c r="S114" i="16" s="1"/>
  <c r="G15" i="36"/>
  <c r="AA16" i="41"/>
  <c r="AF17" i="41"/>
  <c r="AA91" i="41"/>
  <c r="H13" i="36"/>
  <c r="F119" i="16"/>
  <c r="G19" i="4"/>
  <c r="AF15" i="41"/>
  <c r="AB135" i="41"/>
  <c r="I113" i="7"/>
  <c r="E130" i="16"/>
  <c r="E132" i="16"/>
  <c r="AB36" i="4" s="1"/>
  <c r="AC36" i="4" s="1"/>
  <c r="AA76" i="40" l="1"/>
  <c r="AA78" i="40" s="1"/>
  <c r="AA34" i="40"/>
  <c r="AA43" i="40" s="1"/>
  <c r="E65" i="6" s="1"/>
  <c r="G15" i="6"/>
  <c r="G25" i="6" s="1"/>
  <c r="G28" i="6" s="1"/>
  <c r="F35" i="4" s="1"/>
  <c r="C18" i="41" s="1"/>
  <c r="AB18" i="41" s="1"/>
  <c r="AA55" i="40"/>
  <c r="AA63" i="40" s="1"/>
  <c r="G45" i="4"/>
  <c r="I95" i="7" s="1"/>
  <c r="I100" i="7" s="1"/>
  <c r="F21" i="4" s="1"/>
  <c r="G21" i="4" s="1"/>
  <c r="F29" i="39"/>
  <c r="E11" i="39"/>
  <c r="E10" i="39" s="1"/>
  <c r="K5" i="39"/>
  <c r="H50" i="39"/>
  <c r="H22" i="39"/>
  <c r="H56" i="39"/>
  <c r="H15" i="39"/>
  <c r="G40" i="39"/>
  <c r="G35" i="39"/>
  <c r="G29" i="24"/>
  <c r="F50" i="39"/>
  <c r="F22" i="39"/>
  <c r="F38" i="39"/>
  <c r="F37" i="39"/>
  <c r="G33" i="39" s="1"/>
  <c r="F15" i="39"/>
  <c r="F56" i="39"/>
  <c r="F113" i="17"/>
  <c r="F41" i="39"/>
  <c r="F44" i="39" s="1"/>
  <c r="F45" i="39" s="1"/>
  <c r="F51" i="39"/>
  <c r="I16" i="43"/>
  <c r="J16" i="43" s="1"/>
  <c r="F17" i="43" s="1"/>
  <c r="H17" i="43" s="1"/>
  <c r="E117" i="17"/>
  <c r="E118" i="17"/>
  <c r="F41" i="24"/>
  <c r="F53" i="24"/>
  <c r="F42" i="24"/>
  <c r="S44" i="24"/>
  <c r="AA25" i="40"/>
  <c r="E56" i="6" s="1"/>
  <c r="AA16" i="40"/>
  <c r="E47" i="6" s="1"/>
  <c r="AA21" i="40"/>
  <c r="E52" i="6" s="1"/>
  <c r="AA24" i="40"/>
  <c r="E55" i="6" s="1"/>
  <c r="AA20" i="40"/>
  <c r="E51" i="6" s="1"/>
  <c r="AA26" i="40"/>
  <c r="E57" i="6" s="1"/>
  <c r="AA19" i="40"/>
  <c r="E50" i="6" s="1"/>
  <c r="AA15" i="40"/>
  <c r="AA23" i="40"/>
  <c r="E54" i="6" s="1"/>
  <c r="AA17" i="40"/>
  <c r="E48" i="6" s="1"/>
  <c r="AA22" i="40"/>
  <c r="E53" i="6" s="1"/>
  <c r="AA18" i="40"/>
  <c r="E49" i="6" s="1"/>
  <c r="AB91" i="41"/>
  <c r="AB16" i="41"/>
  <c r="F32" i="4"/>
  <c r="E140" i="16"/>
  <c r="F121" i="16"/>
  <c r="I13" i="36"/>
  <c r="G16" i="36"/>
  <c r="C136" i="41"/>
  <c r="J113" i="7"/>
  <c r="J116" i="7" s="1"/>
  <c r="L113" i="7"/>
  <c r="L116" i="7" s="1"/>
  <c r="I116" i="7"/>
  <c r="AA47" i="40" l="1"/>
  <c r="E69" i="6" s="1"/>
  <c r="AA39" i="40"/>
  <c r="E61" i="6" s="1"/>
  <c r="AA41" i="40"/>
  <c r="E63" i="6" s="1"/>
  <c r="AA45" i="40"/>
  <c r="E67" i="6" s="1"/>
  <c r="AA46" i="40"/>
  <c r="E68" i="6" s="1"/>
  <c r="AA38" i="40"/>
  <c r="E60" i="6" s="1"/>
  <c r="AA40" i="40"/>
  <c r="E62" i="6" s="1"/>
  <c r="AA84" i="40"/>
  <c r="AA36" i="40"/>
  <c r="E58" i="6" s="1"/>
  <c r="AA61" i="40"/>
  <c r="E74" i="6" s="1"/>
  <c r="AA42" i="40"/>
  <c r="E64" i="6" s="1"/>
  <c r="AA66" i="40"/>
  <c r="AA37" i="40"/>
  <c r="E59" i="6" s="1"/>
  <c r="AA44" i="40"/>
  <c r="E66" i="6" s="1"/>
  <c r="AA68" i="40"/>
  <c r="AA57" i="40"/>
  <c r="E70" i="6" s="1"/>
  <c r="AA82" i="40"/>
  <c r="AA65" i="40"/>
  <c r="AA60" i="40"/>
  <c r="E73" i="6" s="1"/>
  <c r="AA89" i="40"/>
  <c r="AA59" i="40"/>
  <c r="E72" i="6" s="1"/>
  <c r="AA67" i="40"/>
  <c r="AA79" i="40"/>
  <c r="AA80" i="40"/>
  <c r="AA62" i="40"/>
  <c r="AA58" i="40"/>
  <c r="E71" i="6" s="1"/>
  <c r="AA86" i="40"/>
  <c r="AA81" i="40"/>
  <c r="AA83" i="40"/>
  <c r="AA85" i="40"/>
  <c r="AA87" i="40"/>
  <c r="AA88" i="40"/>
  <c r="B35" i="34"/>
  <c r="B68" i="34" s="1"/>
  <c r="L95" i="7"/>
  <c r="L100" i="7" s="1"/>
  <c r="L118" i="7" s="1"/>
  <c r="L124" i="7" s="1"/>
  <c r="E9" i="39"/>
  <c r="AA64" i="40"/>
  <c r="G46" i="4"/>
  <c r="Q4" i="6"/>
  <c r="G20" i="6"/>
  <c r="G48" i="4" s="1"/>
  <c r="J95" i="7"/>
  <c r="J100" i="7" s="1"/>
  <c r="C120" i="41"/>
  <c r="D120" i="41" s="1"/>
  <c r="AA120" i="41" s="1"/>
  <c r="AB120" i="41" s="1"/>
  <c r="G56" i="39"/>
  <c r="G15" i="39"/>
  <c r="D15" i="39" s="1"/>
  <c r="G22" i="39"/>
  <c r="D22" i="39" s="1"/>
  <c r="G50" i="39"/>
  <c r="F42" i="39"/>
  <c r="F52" i="39"/>
  <c r="F57" i="39" s="1"/>
  <c r="F59" i="39" s="1"/>
  <c r="F60" i="39" s="1"/>
  <c r="V43" i="24"/>
  <c r="V45" i="24"/>
  <c r="V44" i="24"/>
  <c r="F37" i="24"/>
  <c r="S45" i="24"/>
  <c r="G113" i="17"/>
  <c r="I17" i="43"/>
  <c r="J17" i="43" s="1"/>
  <c r="F18" i="43" s="1"/>
  <c r="H18" i="43" s="1"/>
  <c r="G34" i="39"/>
  <c r="G36" i="39" s="1"/>
  <c r="F118" i="17"/>
  <c r="F117" i="17"/>
  <c r="AA28" i="40"/>
  <c r="AP39" i="40" s="1"/>
  <c r="E46" i="6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C23" i="41"/>
  <c r="F23" i="4"/>
  <c r="I118" i="7"/>
  <c r="G121" i="7" s="1"/>
  <c r="D136" i="41"/>
  <c r="G17" i="36"/>
  <c r="F120" i="16"/>
  <c r="F122" i="16" s="1"/>
  <c r="J13" i="36"/>
  <c r="F14" i="36" s="1"/>
  <c r="AA49" i="40" l="1"/>
  <c r="AP40" i="40" s="1"/>
  <c r="K47" i="6" s="1"/>
  <c r="AA70" i="40"/>
  <c r="AP41" i="40" s="1"/>
  <c r="K48" i="6" s="1"/>
  <c r="Q5" i="6"/>
  <c r="Q6" i="6" s="1"/>
  <c r="AA91" i="40"/>
  <c r="AP42" i="40" s="1"/>
  <c r="K49" i="6" s="1"/>
  <c r="U27" i="4"/>
  <c r="F31" i="4"/>
  <c r="C17" i="41" s="1"/>
  <c r="T17" i="41" s="1"/>
  <c r="T27" i="41" s="1"/>
  <c r="T153" i="41" s="1"/>
  <c r="F54" i="39"/>
  <c r="F53" i="39"/>
  <c r="G48" i="39" s="1"/>
  <c r="G49" i="39" s="1"/>
  <c r="G58" i="6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H113" i="17"/>
  <c r="H117" i="17" s="1"/>
  <c r="G37" i="39"/>
  <c r="H33" i="39" s="1"/>
  <c r="H34" i="39" s="1"/>
  <c r="H36" i="39" s="1"/>
  <c r="H37" i="39" s="1"/>
  <c r="I33" i="39" s="1"/>
  <c r="W44" i="24"/>
  <c r="F56" i="24" s="1"/>
  <c r="F38" i="24"/>
  <c r="W45" i="24"/>
  <c r="G38" i="39"/>
  <c r="G51" i="39"/>
  <c r="G41" i="39"/>
  <c r="I18" i="43"/>
  <c r="J18" i="43" s="1"/>
  <c r="F19" i="43" s="1"/>
  <c r="H19" i="43" s="1"/>
  <c r="F55" i="24"/>
  <c r="F43" i="24"/>
  <c r="G117" i="17"/>
  <c r="G118" i="17"/>
  <c r="F64" i="39"/>
  <c r="F14" i="39" s="1"/>
  <c r="F63" i="39"/>
  <c r="K46" i="6"/>
  <c r="AA136" i="41"/>
  <c r="D146" i="41"/>
  <c r="J118" i="7"/>
  <c r="I124" i="7"/>
  <c r="H14" i="36"/>
  <c r="G119" i="16"/>
  <c r="G23" i="4"/>
  <c r="G27" i="4" s="1"/>
  <c r="F27" i="4"/>
  <c r="G18" i="36"/>
  <c r="F130" i="16"/>
  <c r="F132" i="16"/>
  <c r="AF21" i="41"/>
  <c r="D23" i="41"/>
  <c r="AQ40" i="40" l="1"/>
  <c r="AQ41" i="40" s="1"/>
  <c r="AQ42" i="40" s="1"/>
  <c r="AP43" i="40" s="1"/>
  <c r="K50" i="6" s="1"/>
  <c r="R17" i="41"/>
  <c r="R27" i="41" s="1"/>
  <c r="R153" i="41" s="1"/>
  <c r="X17" i="41"/>
  <c r="V17" i="41"/>
  <c r="V27" i="41" s="1"/>
  <c r="V153" i="41" s="1"/>
  <c r="H17" i="41"/>
  <c r="H27" i="41" s="1"/>
  <c r="H153" i="41" s="1"/>
  <c r="F17" i="41"/>
  <c r="F27" i="41" s="1"/>
  <c r="F153" i="41" s="1"/>
  <c r="D17" i="41"/>
  <c r="D27" i="41" s="1"/>
  <c r="D30" i="41" s="1"/>
  <c r="D149" i="41" s="1"/>
  <c r="O17" i="41"/>
  <c r="O27" i="41" s="1"/>
  <c r="O153" i="41" s="1"/>
  <c r="N17" i="41"/>
  <c r="N27" i="41" s="1"/>
  <c r="N153" i="41" s="1"/>
  <c r="Y17" i="41"/>
  <c r="Y30" i="41" s="1"/>
  <c r="Y144" i="41" s="1"/>
  <c r="Y146" i="41" s="1"/>
  <c r="I17" i="41"/>
  <c r="I27" i="41" s="1"/>
  <c r="I153" i="41" s="1"/>
  <c r="L17" i="41"/>
  <c r="L27" i="41" s="1"/>
  <c r="L153" i="41" s="1"/>
  <c r="P17" i="41"/>
  <c r="P27" i="41" s="1"/>
  <c r="P153" i="41" s="1"/>
  <c r="K17" i="41"/>
  <c r="K27" i="41" s="1"/>
  <c r="K153" i="41" s="1"/>
  <c r="Q17" i="41"/>
  <c r="Q27" i="41" s="1"/>
  <c r="Q153" i="41" s="1"/>
  <c r="U17" i="41"/>
  <c r="U27" i="41" s="1"/>
  <c r="U153" i="41" s="1"/>
  <c r="E17" i="41"/>
  <c r="E27" i="41" s="1"/>
  <c r="E153" i="41" s="1"/>
  <c r="J17" i="41"/>
  <c r="J27" i="41" s="1"/>
  <c r="J153" i="41" s="1"/>
  <c r="W17" i="41"/>
  <c r="W30" i="41" s="1"/>
  <c r="W144" i="41" s="1"/>
  <c r="W146" i="41" s="1"/>
  <c r="W149" i="41" s="1"/>
  <c r="S17" i="41"/>
  <c r="S27" i="41" s="1"/>
  <c r="S153" i="41" s="1"/>
  <c r="G17" i="41"/>
  <c r="G27" i="41" s="1"/>
  <c r="G153" i="41" s="1"/>
  <c r="M17" i="41"/>
  <c r="M27" i="41" s="1"/>
  <c r="M153" i="41" s="1"/>
  <c r="H118" i="17"/>
  <c r="I113" i="17"/>
  <c r="I117" i="17" s="1"/>
  <c r="I19" i="43"/>
  <c r="J19" i="43" s="1"/>
  <c r="F20" i="43" s="1"/>
  <c r="H20" i="43" s="1"/>
  <c r="F21" i="39"/>
  <c r="F65" i="39"/>
  <c r="F16" i="39"/>
  <c r="X45" i="24"/>
  <c r="F57" i="24" s="1"/>
  <c r="F39" i="24"/>
  <c r="J19" i="45" s="1"/>
  <c r="I34" i="39"/>
  <c r="I36" i="39" s="1"/>
  <c r="G44" i="39"/>
  <c r="G45" i="39" s="1"/>
  <c r="G52" i="39" s="1"/>
  <c r="G42" i="39"/>
  <c r="H41" i="39"/>
  <c r="H38" i="39"/>
  <c r="H51" i="39"/>
  <c r="F44" i="24"/>
  <c r="F140" i="16"/>
  <c r="G121" i="16"/>
  <c r="I14" i="36"/>
  <c r="AF12" i="41"/>
  <c r="AF18" i="41" s="1"/>
  <c r="J124" i="7"/>
  <c r="P16" i="6"/>
  <c r="G19" i="36"/>
  <c r="AB136" i="41"/>
  <c r="F41" i="4"/>
  <c r="Q37" i="4" s="1"/>
  <c r="AA23" i="41"/>
  <c r="V27" i="4"/>
  <c r="AF20" i="41" l="1"/>
  <c r="AF22" i="41" s="1"/>
  <c r="W155" i="41"/>
  <c r="Y155" i="41"/>
  <c r="AA17" i="41"/>
  <c r="AB17" i="41" s="1"/>
  <c r="I118" i="17"/>
  <c r="H30" i="41"/>
  <c r="H149" i="41" s="1"/>
  <c r="M30" i="41"/>
  <c r="M149" i="41" s="1"/>
  <c r="F30" i="41"/>
  <c r="F149" i="41" s="1"/>
  <c r="J30" i="41"/>
  <c r="J149" i="41" s="1"/>
  <c r="O30" i="41"/>
  <c r="O149" i="41" s="1"/>
  <c r="I30" i="41"/>
  <c r="I149" i="41" s="1"/>
  <c r="L30" i="41"/>
  <c r="L149" i="41" s="1"/>
  <c r="K30" i="41"/>
  <c r="K149" i="41" s="1"/>
  <c r="N30" i="41"/>
  <c r="N149" i="41" s="1"/>
  <c r="E30" i="41"/>
  <c r="E149" i="41" s="1"/>
  <c r="G30" i="41"/>
  <c r="G149" i="41" s="1"/>
  <c r="I41" i="39"/>
  <c r="I51" i="39"/>
  <c r="I38" i="39"/>
  <c r="I37" i="39"/>
  <c r="J33" i="39" s="1"/>
  <c r="F23" i="39"/>
  <c r="G54" i="39"/>
  <c r="G57" i="39"/>
  <c r="G59" i="39" s="1"/>
  <c r="G60" i="39" s="1"/>
  <c r="G53" i="39"/>
  <c r="H48" i="39" s="1"/>
  <c r="J113" i="17"/>
  <c r="I20" i="43"/>
  <c r="J20" i="43" s="1"/>
  <c r="F21" i="43" s="1"/>
  <c r="H21" i="43" s="1"/>
  <c r="H44" i="39"/>
  <c r="H45" i="39" s="1"/>
  <c r="H42" i="39"/>
  <c r="F45" i="24"/>
  <c r="AQ43" i="40"/>
  <c r="G20" i="36"/>
  <c r="AB23" i="41"/>
  <c r="Q31" i="4"/>
  <c r="Q34" i="4"/>
  <c r="S34" i="4" s="1"/>
  <c r="C28" i="41"/>
  <c r="C142" i="16"/>
  <c r="F42" i="4"/>
  <c r="P17" i="6"/>
  <c r="P18" i="6" s="1"/>
  <c r="P20" i="6" s="1"/>
  <c r="P21" i="6" s="1"/>
  <c r="G120" i="16"/>
  <c r="G122" i="16" s="1"/>
  <c r="J14" i="36"/>
  <c r="F15" i="36" s="1"/>
  <c r="D153" i="41"/>
  <c r="C27" i="41"/>
  <c r="AA27" i="41"/>
  <c r="AG22" i="41" l="1"/>
  <c r="G55" i="7" s="1"/>
  <c r="J34" i="39"/>
  <c r="J36" i="39" s="1"/>
  <c r="J37" i="39" s="1"/>
  <c r="K33" i="39" s="1"/>
  <c r="K113" i="17"/>
  <c r="J118" i="17"/>
  <c r="J117" i="17"/>
  <c r="H49" i="39"/>
  <c r="H52" i="39" s="1"/>
  <c r="I21" i="43"/>
  <c r="J21" i="43" s="1"/>
  <c r="F22" i="43" s="1"/>
  <c r="H22" i="43" s="1"/>
  <c r="I22" i="43" s="1"/>
  <c r="J22" i="43" s="1"/>
  <c r="F23" i="43" s="1"/>
  <c r="H23" i="43" s="1"/>
  <c r="I23" i="43" s="1"/>
  <c r="J23" i="43" s="1"/>
  <c r="F24" i="43" s="1"/>
  <c r="H24" i="43" s="1"/>
  <c r="I24" i="43" s="1"/>
  <c r="J24" i="43" s="1"/>
  <c r="F25" i="43" s="1"/>
  <c r="H25" i="43" s="1"/>
  <c r="I25" i="43" s="1"/>
  <c r="J25" i="43" s="1"/>
  <c r="F26" i="43" s="1"/>
  <c r="H26" i="43" s="1"/>
  <c r="I26" i="43" s="1"/>
  <c r="J26" i="43" s="1"/>
  <c r="F27" i="43" s="1"/>
  <c r="H27" i="43" s="1"/>
  <c r="I27" i="43" s="1"/>
  <c r="J27" i="43" s="1"/>
  <c r="F28" i="43" s="1"/>
  <c r="H28" i="43" s="1"/>
  <c r="I28" i="43" s="1"/>
  <c r="J28" i="43" s="1"/>
  <c r="F29" i="43" s="1"/>
  <c r="H29" i="43" s="1"/>
  <c r="I29" i="43" s="1"/>
  <c r="J29" i="43" s="1"/>
  <c r="F30" i="43" s="1"/>
  <c r="H30" i="43" s="1"/>
  <c r="I30" i="43" s="1"/>
  <c r="J30" i="43" s="1"/>
  <c r="F31" i="43" s="1"/>
  <c r="H31" i="43" s="1"/>
  <c r="I31" i="43" s="1"/>
  <c r="J31" i="43" s="1"/>
  <c r="F32" i="43" s="1"/>
  <c r="H32" i="43" s="1"/>
  <c r="I32" i="43" s="1"/>
  <c r="J32" i="43" s="1"/>
  <c r="F33" i="43" s="1"/>
  <c r="H33" i="43" s="1"/>
  <c r="I33" i="43" s="1"/>
  <c r="J33" i="43" s="1"/>
  <c r="F34" i="43" s="1"/>
  <c r="H34" i="43" s="1"/>
  <c r="I34" i="43" s="1"/>
  <c r="J34" i="43" s="1"/>
  <c r="F35" i="43" s="1"/>
  <c r="H35" i="43" s="1"/>
  <c r="I35" i="43" s="1"/>
  <c r="J35" i="43" s="1"/>
  <c r="F36" i="43" s="1"/>
  <c r="H36" i="43" s="1"/>
  <c r="I36" i="43" s="1"/>
  <c r="J36" i="43" s="1"/>
  <c r="F37" i="43" s="1"/>
  <c r="H37" i="43" s="1"/>
  <c r="I37" i="43" s="1"/>
  <c r="J37" i="43" s="1"/>
  <c r="F38" i="43" s="1"/>
  <c r="H38" i="43" s="1"/>
  <c r="I38" i="43" s="1"/>
  <c r="J38" i="43" s="1"/>
  <c r="F39" i="43" s="1"/>
  <c r="H39" i="43" s="1"/>
  <c r="I39" i="43" s="1"/>
  <c r="J39" i="43" s="1"/>
  <c r="F40" i="43" s="1"/>
  <c r="H40" i="43" s="1"/>
  <c r="I40" i="43" s="1"/>
  <c r="J40" i="43" s="1"/>
  <c r="F41" i="43" s="1"/>
  <c r="H41" i="43" s="1"/>
  <c r="I41" i="43" s="1"/>
  <c r="J41" i="43" s="1"/>
  <c r="G63" i="39"/>
  <c r="G64" i="39"/>
  <c r="G14" i="39" s="1"/>
  <c r="I44" i="39"/>
  <c r="I45" i="39" s="1"/>
  <c r="I42" i="39"/>
  <c r="AP44" i="40"/>
  <c r="K51" i="6" s="1"/>
  <c r="AB27" i="41"/>
  <c r="G130" i="16"/>
  <c r="G132" i="16"/>
  <c r="X28" i="41"/>
  <c r="U42" i="4"/>
  <c r="V42" i="4" s="1"/>
  <c r="C152" i="41"/>
  <c r="C30" i="41"/>
  <c r="C148" i="41" s="1"/>
  <c r="G33" i="4"/>
  <c r="G36" i="4"/>
  <c r="G37" i="4"/>
  <c r="G31" i="4"/>
  <c r="G38" i="4"/>
  <c r="G34" i="4"/>
  <c r="G39" i="4"/>
  <c r="G40" i="4"/>
  <c r="G35" i="4"/>
  <c r="G30" i="4"/>
  <c r="G32" i="4"/>
  <c r="T20" i="4"/>
  <c r="E154" i="41"/>
  <c r="D157" i="41"/>
  <c r="E142" i="16"/>
  <c r="E144" i="16"/>
  <c r="H15" i="36"/>
  <c r="H119" i="16"/>
  <c r="G41" i="4"/>
  <c r="G21" i="36"/>
  <c r="AF34" i="41" l="1"/>
  <c r="AG34" i="41" s="1"/>
  <c r="AF46" i="41"/>
  <c r="AF47" i="41" s="1"/>
  <c r="AF44" i="41"/>
  <c r="AF45" i="41"/>
  <c r="AF36" i="41"/>
  <c r="AF39" i="41"/>
  <c r="AF42" i="41"/>
  <c r="AF35" i="41"/>
  <c r="AG35" i="41" s="1"/>
  <c r="AF27" i="41"/>
  <c r="AF29" i="41" s="1"/>
  <c r="AF38" i="41"/>
  <c r="AF37" i="41"/>
  <c r="G73" i="7"/>
  <c r="AF41" i="41"/>
  <c r="AF43" i="41"/>
  <c r="AF40" i="41"/>
  <c r="L113" i="17"/>
  <c r="L117" i="17" s="1"/>
  <c r="H57" i="39"/>
  <c r="H54" i="39"/>
  <c r="G16" i="39"/>
  <c r="G21" i="39"/>
  <c r="G65" i="39"/>
  <c r="K118" i="17"/>
  <c r="K117" i="17"/>
  <c r="K34" i="39"/>
  <c r="K36" i="39" s="1"/>
  <c r="K37" i="39" s="1"/>
  <c r="J51" i="39"/>
  <c r="J41" i="39"/>
  <c r="J42" i="39" s="1"/>
  <c r="J38" i="39"/>
  <c r="H53" i="39"/>
  <c r="I48" i="39" s="1"/>
  <c r="AQ44" i="40"/>
  <c r="D160" i="41"/>
  <c r="D161" i="41" s="1"/>
  <c r="F154" i="41"/>
  <c r="E156" i="41"/>
  <c r="E157" i="41" s="1"/>
  <c r="AA28" i="41"/>
  <c r="X30" i="41"/>
  <c r="X144" i="41" s="1"/>
  <c r="AF48" i="41" s="1"/>
  <c r="AF49" i="41" s="1"/>
  <c r="AF50" i="41" s="1"/>
  <c r="AF51" i="41" s="1"/>
  <c r="AG51" i="41" s="1"/>
  <c r="H121" i="16"/>
  <c r="I15" i="36"/>
  <c r="G140" i="16"/>
  <c r="G42" i="4"/>
  <c r="E145" i="16"/>
  <c r="G22" i="36"/>
  <c r="AL34" i="41" l="1"/>
  <c r="L118" i="17"/>
  <c r="M113" i="17"/>
  <c r="M117" i="17" s="1"/>
  <c r="J44" i="39"/>
  <c r="J45" i="39" s="1"/>
  <c r="I49" i="39"/>
  <c r="I52" i="39" s="1"/>
  <c r="I53" i="39" s="1"/>
  <c r="J48" i="39" s="1"/>
  <c r="G23" i="39"/>
  <c r="K51" i="39"/>
  <c r="K41" i="39"/>
  <c r="K42" i="39" s="1"/>
  <c r="E42" i="39" s="1"/>
  <c r="K38" i="39"/>
  <c r="E38" i="39" s="1"/>
  <c r="H59" i="39"/>
  <c r="H60" i="39" s="1"/>
  <c r="AP45" i="40"/>
  <c r="K52" i="6" s="1"/>
  <c r="AG36" i="41"/>
  <c r="H120" i="16"/>
  <c r="H122" i="16" s="1"/>
  <c r="J15" i="36"/>
  <c r="F16" i="36" s="1"/>
  <c r="E160" i="41"/>
  <c r="E161" i="41" s="1"/>
  <c r="C144" i="41"/>
  <c r="C146" i="41" s="1"/>
  <c r="AA144" i="41"/>
  <c r="X155" i="41"/>
  <c r="X146" i="41"/>
  <c r="X149" i="41" s="1"/>
  <c r="F156" i="41"/>
  <c r="F157" i="41" s="1"/>
  <c r="G154" i="41"/>
  <c r="AB28" i="41"/>
  <c r="AA30" i="41"/>
  <c r="AB30" i="41" s="1"/>
  <c r="G23" i="36"/>
  <c r="F142" i="16"/>
  <c r="F144" i="16" s="1"/>
  <c r="E149" i="16"/>
  <c r="N113" i="17" l="1"/>
  <c r="N117" i="17" s="1"/>
  <c r="M118" i="17"/>
  <c r="K44" i="39"/>
  <c r="K45" i="39" s="1"/>
  <c r="J49" i="39"/>
  <c r="J52" i="39" s="1"/>
  <c r="J53" i="39" s="1"/>
  <c r="K48" i="39" s="1"/>
  <c r="H64" i="39"/>
  <c r="H14" i="39" s="1"/>
  <c r="H63" i="39"/>
  <c r="I57" i="39"/>
  <c r="I54" i="39"/>
  <c r="AQ45" i="40"/>
  <c r="AA148" i="41"/>
  <c r="C149" i="41"/>
  <c r="G156" i="41"/>
  <c r="G157" i="41" s="1"/>
  <c r="H154" i="41"/>
  <c r="F160" i="41"/>
  <c r="F161" i="41" s="1"/>
  <c r="H16" i="36"/>
  <c r="I119" i="16"/>
  <c r="H130" i="16"/>
  <c r="H132" i="16"/>
  <c r="E151" i="16"/>
  <c r="E150" i="16"/>
  <c r="AB144" i="41"/>
  <c r="AA146" i="41"/>
  <c r="AG37" i="41"/>
  <c r="F145" i="16"/>
  <c r="G24" i="36"/>
  <c r="O113" i="17" l="1"/>
  <c r="O117" i="17" s="1"/>
  <c r="N118" i="17"/>
  <c r="K49" i="39"/>
  <c r="K52" i="39" s="1"/>
  <c r="H16" i="39"/>
  <c r="H65" i="39"/>
  <c r="H21" i="39"/>
  <c r="J57" i="39"/>
  <c r="J59" i="39" s="1"/>
  <c r="J60" i="39" s="1"/>
  <c r="J54" i="39"/>
  <c r="I59" i="39"/>
  <c r="I60" i="39" s="1"/>
  <c r="AP46" i="40"/>
  <c r="K53" i="6" s="1"/>
  <c r="AA149" i="41"/>
  <c r="H156" i="41"/>
  <c r="H157" i="41" s="1"/>
  <c r="I154" i="41"/>
  <c r="G160" i="41"/>
  <c r="G161" i="41" s="1"/>
  <c r="AG38" i="41"/>
  <c r="H140" i="16"/>
  <c r="G142" i="16"/>
  <c r="G144" i="16" s="1"/>
  <c r="F149" i="16"/>
  <c r="I121" i="16"/>
  <c r="I16" i="36"/>
  <c r="G25" i="36"/>
  <c r="O118" i="17" l="1"/>
  <c r="P113" i="17"/>
  <c r="P117" i="17" s="1"/>
  <c r="K53" i="39"/>
  <c r="H23" i="39"/>
  <c r="J64" i="39"/>
  <c r="J14" i="39" s="1"/>
  <c r="J16" i="39" s="1"/>
  <c r="J63" i="39"/>
  <c r="I64" i="39"/>
  <c r="I14" i="39" s="1"/>
  <c r="I63" i="39"/>
  <c r="K54" i="39"/>
  <c r="E54" i="39" s="1"/>
  <c r="K57" i="39"/>
  <c r="K59" i="39" s="1"/>
  <c r="K60" i="39" s="1"/>
  <c r="AQ46" i="40"/>
  <c r="G26" i="36"/>
  <c r="AG39" i="41"/>
  <c r="F151" i="16"/>
  <c r="F150" i="16"/>
  <c r="I120" i="16"/>
  <c r="I122" i="16" s="1"/>
  <c r="J16" i="36"/>
  <c r="F17" i="36" s="1"/>
  <c r="G145" i="16"/>
  <c r="I156" i="41"/>
  <c r="I157" i="41" s="1"/>
  <c r="J154" i="41"/>
  <c r="H160" i="41"/>
  <c r="H161" i="41" s="1"/>
  <c r="P118" i="17" l="1"/>
  <c r="Q113" i="17"/>
  <c r="Q118" i="17" s="1"/>
  <c r="K63" i="39"/>
  <c r="K64" i="39"/>
  <c r="K14" i="39" s="1"/>
  <c r="K16" i="39" s="1"/>
  <c r="I65" i="39"/>
  <c r="I21" i="39"/>
  <c r="J65" i="39"/>
  <c r="J21" i="39"/>
  <c r="J23" i="39" s="1"/>
  <c r="I16" i="39"/>
  <c r="AP47" i="40"/>
  <c r="K54" i="6" s="1"/>
  <c r="I130" i="16"/>
  <c r="I132" i="16"/>
  <c r="J156" i="41"/>
  <c r="J157" i="41" s="1"/>
  <c r="K154" i="41"/>
  <c r="AG40" i="41"/>
  <c r="I160" i="41"/>
  <c r="I161" i="41" s="1"/>
  <c r="H142" i="16"/>
  <c r="H144" i="16" s="1"/>
  <c r="G149" i="16"/>
  <c r="H17" i="36"/>
  <c r="J119" i="16"/>
  <c r="G27" i="36"/>
  <c r="Q117" i="17" l="1"/>
  <c r="D17" i="39"/>
  <c r="I23" i="39"/>
  <c r="K65" i="39"/>
  <c r="K21" i="39"/>
  <c r="K23" i="39" s="1"/>
  <c r="D14" i="39"/>
  <c r="D18" i="39" s="1"/>
  <c r="D16" i="39"/>
  <c r="AQ47" i="40"/>
  <c r="L154" i="41"/>
  <c r="K156" i="41"/>
  <c r="K157" i="41" s="1"/>
  <c r="G28" i="36"/>
  <c r="J160" i="41"/>
  <c r="J161" i="41" s="1"/>
  <c r="J121" i="16"/>
  <c r="I17" i="36"/>
  <c r="G151" i="16"/>
  <c r="G150" i="16"/>
  <c r="I140" i="16"/>
  <c r="AG41" i="41"/>
  <c r="H145" i="16"/>
  <c r="K6" i="39" l="1"/>
  <c r="K4" i="39" s="1"/>
  <c r="D21" i="39"/>
  <c r="D25" i="39" s="1"/>
  <c r="D24" i="39"/>
  <c r="D23" i="39"/>
  <c r="AP48" i="40"/>
  <c r="K55" i="6" s="1"/>
  <c r="J120" i="16"/>
  <c r="J122" i="16" s="1"/>
  <c r="J17" i="36"/>
  <c r="F18" i="36" s="1"/>
  <c r="AG42" i="41"/>
  <c r="H149" i="16"/>
  <c r="I142" i="16"/>
  <c r="I144" i="16" s="1"/>
  <c r="G29" i="36"/>
  <c r="K160" i="41"/>
  <c r="K161" i="41" s="1"/>
  <c r="M154" i="41"/>
  <c r="L156" i="41"/>
  <c r="L157" i="41" s="1"/>
  <c r="AQ48" i="40" l="1"/>
  <c r="G30" i="36"/>
  <c r="H151" i="16"/>
  <c r="H150" i="16"/>
  <c r="AG43" i="41"/>
  <c r="I145" i="16"/>
  <c r="N154" i="41"/>
  <c r="M156" i="41"/>
  <c r="M157" i="41" s="1"/>
  <c r="H18" i="36"/>
  <c r="K119" i="16"/>
  <c r="L160" i="41"/>
  <c r="L161" i="41" s="1"/>
  <c r="J130" i="16"/>
  <c r="J132" i="16"/>
  <c r="J140" i="16" s="1"/>
  <c r="AP49" i="40" l="1"/>
  <c r="K56" i="6" s="1"/>
  <c r="AG44" i="41"/>
  <c r="K121" i="16"/>
  <c r="I18" i="36"/>
  <c r="M160" i="41"/>
  <c r="M161" i="41" s="1"/>
  <c r="I149" i="16"/>
  <c r="J142" i="16"/>
  <c r="J144" i="16" s="1"/>
  <c r="J145" i="16" s="1"/>
  <c r="N156" i="41"/>
  <c r="N157" i="41" s="1"/>
  <c r="O154" i="41"/>
  <c r="G31" i="36"/>
  <c r="AQ49" i="40" l="1"/>
  <c r="I150" i="16"/>
  <c r="I151" i="16"/>
  <c r="K120" i="16"/>
  <c r="K122" i="16" s="1"/>
  <c r="J18" i="36"/>
  <c r="F19" i="36" s="1"/>
  <c r="G32" i="36"/>
  <c r="O156" i="41"/>
  <c r="O157" i="41" s="1"/>
  <c r="P154" i="41"/>
  <c r="J149" i="16"/>
  <c r="K142" i="16"/>
  <c r="N160" i="41"/>
  <c r="N161" i="41" s="1"/>
  <c r="AG45" i="41"/>
  <c r="AP50" i="40" l="1"/>
  <c r="K57" i="6" s="1"/>
  <c r="K58" i="6" s="1"/>
  <c r="H19" i="36"/>
  <c r="L119" i="16"/>
  <c r="O160" i="41"/>
  <c r="O161" i="41" s="1"/>
  <c r="P156" i="41"/>
  <c r="Q154" i="41"/>
  <c r="G33" i="36"/>
  <c r="AG46" i="41"/>
  <c r="K130" i="16"/>
  <c r="K132" i="16"/>
  <c r="K140" i="16" s="1"/>
  <c r="K144" i="16" s="1"/>
  <c r="K145" i="16" s="1"/>
  <c r="J151" i="16"/>
  <c r="J150" i="16"/>
  <c r="AQ50" i="40" l="1"/>
  <c r="K149" i="16"/>
  <c r="L142" i="16"/>
  <c r="AG47" i="41"/>
  <c r="Q156" i="41"/>
  <c r="R154" i="41"/>
  <c r="G34" i="36"/>
  <c r="L121" i="16"/>
  <c r="I19" i="36"/>
  <c r="R156" i="41" l="1"/>
  <c r="S154" i="41"/>
  <c r="AG48" i="41"/>
  <c r="G35" i="36"/>
  <c r="L120" i="16"/>
  <c r="L122" i="16" s="1"/>
  <c r="J19" i="36"/>
  <c r="F20" i="36" s="1"/>
  <c r="K151" i="16"/>
  <c r="K150" i="16"/>
  <c r="L130" i="16" l="1"/>
  <c r="L132" i="16"/>
  <c r="L140" i="16" s="1"/>
  <c r="L144" i="16" s="1"/>
  <c r="L145" i="16" s="1"/>
  <c r="G36" i="36"/>
  <c r="T154" i="41"/>
  <c r="S156" i="41"/>
  <c r="AG49" i="41"/>
  <c r="AG50" i="41"/>
  <c r="H20" i="36"/>
  <c r="M119" i="16"/>
  <c r="AG58" i="41" l="1"/>
  <c r="G54" i="7" s="1"/>
  <c r="G37" i="36"/>
  <c r="U154" i="41"/>
  <c r="T156" i="41"/>
  <c r="M142" i="16"/>
  <c r="L149" i="16"/>
  <c r="M121" i="16"/>
  <c r="I20" i="36"/>
  <c r="M120" i="16" l="1"/>
  <c r="M122" i="16" s="1"/>
  <c r="J20" i="36"/>
  <c r="F21" i="36" s="1"/>
  <c r="L151" i="16"/>
  <c r="L150" i="16"/>
  <c r="V154" i="41"/>
  <c r="U156" i="41"/>
  <c r="G38" i="36"/>
  <c r="V156" i="41" l="1"/>
  <c r="W156" i="41" s="1"/>
  <c r="W154" i="41"/>
  <c r="X154" i="41" s="1"/>
  <c r="Y154" i="41" s="1"/>
  <c r="H21" i="36"/>
  <c r="N119" i="16"/>
  <c r="G39" i="36"/>
  <c r="M130" i="16"/>
  <c r="M132" i="16"/>
  <c r="M140" i="16" s="1"/>
  <c r="M144" i="16" s="1"/>
  <c r="M145" i="16" s="1"/>
  <c r="G40" i="36" l="1"/>
  <c r="N121" i="16"/>
  <c r="I21" i="36"/>
  <c r="N142" i="16"/>
  <c r="M149" i="16"/>
  <c r="W157" i="41"/>
  <c r="X156" i="41"/>
  <c r="X157" i="41" l="1"/>
  <c r="Y156" i="41"/>
  <c r="Y157" i="41" s="1"/>
  <c r="N120" i="16"/>
  <c r="N122" i="16" s="1"/>
  <c r="J21" i="36"/>
  <c r="F22" i="36" s="1"/>
  <c r="W160" i="41"/>
  <c r="W161" i="41" s="1"/>
  <c r="X163" i="41"/>
  <c r="M151" i="16"/>
  <c r="M150" i="16"/>
  <c r="G41" i="36"/>
  <c r="H22" i="36" l="1"/>
  <c r="O119" i="16"/>
  <c r="Y160" i="41"/>
  <c r="AA157" i="41"/>
  <c r="N130" i="16"/>
  <c r="N132" i="16"/>
  <c r="N140" i="16" s="1"/>
  <c r="N144" i="16" s="1"/>
  <c r="N145" i="16" s="1"/>
  <c r="X160" i="41"/>
  <c r="X161" i="41" s="1"/>
  <c r="Y165" i="41"/>
  <c r="G42" i="36"/>
  <c r="AA160" i="41" l="1"/>
  <c r="O142" i="16"/>
  <c r="N149" i="16"/>
  <c r="Y161" i="41"/>
  <c r="AA161" i="41" s="1"/>
  <c r="G43" i="36"/>
  <c r="O121" i="16"/>
  <c r="I22" i="36"/>
  <c r="AA162" i="41" l="1"/>
  <c r="O120" i="16"/>
  <c r="O122" i="16" s="1"/>
  <c r="J22" i="36"/>
  <c r="F23" i="36" s="1"/>
  <c r="G44" i="36"/>
  <c r="N151" i="16"/>
  <c r="N150" i="16"/>
  <c r="G45" i="36" l="1"/>
  <c r="H23" i="36"/>
  <c r="P119" i="16"/>
  <c r="O130" i="16"/>
  <c r="O132" i="16"/>
  <c r="O140" i="16" s="1"/>
  <c r="O144" i="16" s="1"/>
  <c r="O145" i="16" s="1"/>
  <c r="P142" i="16" l="1"/>
  <c r="O149" i="16"/>
  <c r="P121" i="16"/>
  <c r="I23" i="36"/>
  <c r="G46" i="36"/>
  <c r="G47" i="36" s="1"/>
  <c r="G48" i="36" s="1"/>
  <c r="G49" i="36" s="1"/>
  <c r="G50" i="36" s="1"/>
  <c r="G51" i="36" s="1"/>
  <c r="P120" i="16" l="1"/>
  <c r="P122" i="16" s="1"/>
  <c r="J23" i="36"/>
  <c r="F24" i="36" s="1"/>
  <c r="O151" i="16"/>
  <c r="O150" i="16"/>
  <c r="H24" i="36" l="1"/>
  <c r="Q119" i="16"/>
  <c r="P130" i="16"/>
  <c r="P132" i="16"/>
  <c r="P140" i="16" s="1"/>
  <c r="P144" i="16" s="1"/>
  <c r="Q121" i="16" l="1"/>
  <c r="I24" i="36"/>
  <c r="P145" i="16"/>
  <c r="Q32" i="4"/>
  <c r="S32" i="4" s="1"/>
  <c r="Q120" i="16" l="1"/>
  <c r="Q122" i="16" s="1"/>
  <c r="J24" i="36"/>
  <c r="F25" i="36" s="1"/>
  <c r="P149" i="16"/>
  <c r="Q142" i="16"/>
  <c r="P151" i="16" l="1"/>
  <c r="P150" i="16"/>
  <c r="H25" i="36"/>
  <c r="R119" i="16"/>
  <c r="Q130" i="16"/>
  <c r="Q132" i="16"/>
  <c r="Q140" i="16" s="1"/>
  <c r="Q144" i="16" s="1"/>
  <c r="Q145" i="16" s="1"/>
  <c r="Q149" i="16" l="1"/>
  <c r="R142" i="16"/>
  <c r="R121" i="16"/>
  <c r="I25" i="36"/>
  <c r="R120" i="16" l="1"/>
  <c r="R122" i="16" s="1"/>
  <c r="J25" i="36"/>
  <c r="F26" i="36" s="1"/>
  <c r="Q150" i="16"/>
  <c r="Q151" i="16"/>
  <c r="H26" i="36" l="1"/>
  <c r="S119" i="16"/>
  <c r="R130" i="16"/>
  <c r="R132" i="16"/>
  <c r="R140" i="16" s="1"/>
  <c r="R144" i="16" s="1"/>
  <c r="R145" i="16" s="1"/>
  <c r="R149" i="16" l="1"/>
  <c r="S142" i="16"/>
  <c r="S121" i="16"/>
  <c r="I26" i="36"/>
  <c r="S120" i="16" l="1"/>
  <c r="S122" i="16" s="1"/>
  <c r="J26" i="36"/>
  <c r="F27" i="36" s="1"/>
  <c r="R151" i="16"/>
  <c r="R150" i="16"/>
  <c r="H27" i="36" l="1"/>
  <c r="I27" i="36" s="1"/>
  <c r="J27" i="36" s="1"/>
  <c r="F28" i="36" s="1"/>
  <c r="S130" i="16"/>
  <c r="S132" i="16"/>
  <c r="H28" i="36" l="1"/>
  <c r="I28" i="36" s="1"/>
  <c r="J28" i="36" s="1"/>
  <c r="F29" i="36" s="1"/>
  <c r="S140" i="16"/>
  <c r="S144" i="16" s="1"/>
  <c r="Q35" i="4"/>
  <c r="H29" i="36" l="1"/>
  <c r="I29" i="36" s="1"/>
  <c r="J29" i="36" s="1"/>
  <c r="F30" i="36" s="1"/>
  <c r="S145" i="16"/>
  <c r="S149" i="16" s="1"/>
  <c r="Q33" i="4"/>
  <c r="S33" i="4" s="1"/>
  <c r="H30" i="36" l="1"/>
  <c r="I30" i="36" s="1"/>
  <c r="J30" i="36" s="1"/>
  <c r="F31" i="36" s="1"/>
  <c r="S151" i="16"/>
  <c r="S150" i="16"/>
  <c r="H31" i="36" l="1"/>
  <c r="I31" i="36" s="1"/>
  <c r="J31" i="36" s="1"/>
  <c r="F32" i="36" s="1"/>
  <c r="H32" i="36" l="1"/>
  <c r="I32" i="36" s="1"/>
  <c r="J32" i="36" s="1"/>
  <c r="F33" i="36" s="1"/>
  <c r="H33" i="36" l="1"/>
  <c r="I33" i="36" s="1"/>
  <c r="J33" i="36" s="1"/>
  <c r="F34" i="36" s="1"/>
  <c r="H34" i="36" l="1"/>
  <c r="I34" i="36" s="1"/>
  <c r="J34" i="36" s="1"/>
  <c r="F35" i="36" s="1"/>
  <c r="H35" i="36" l="1"/>
  <c r="I35" i="36" s="1"/>
  <c r="J35" i="36" s="1"/>
  <c r="F36" i="36" s="1"/>
  <c r="H36" i="36" l="1"/>
  <c r="I36" i="36" s="1"/>
  <c r="J36" i="36" s="1"/>
  <c r="F37" i="36" s="1"/>
  <c r="H37" i="36" l="1"/>
  <c r="I37" i="36" s="1"/>
  <c r="J37" i="36" s="1"/>
  <c r="F38" i="36" s="1"/>
  <c r="H38" i="36" l="1"/>
  <c r="I38" i="36" s="1"/>
  <c r="J38" i="36" s="1"/>
  <c r="F39" i="36" s="1"/>
  <c r="H39" i="36" l="1"/>
  <c r="I39" i="36" s="1"/>
  <c r="J39" i="36" s="1"/>
  <c r="F40" i="36" s="1"/>
  <c r="H40" i="36" l="1"/>
  <c r="I40" i="36" s="1"/>
  <c r="J40" i="36" s="1"/>
  <c r="F41" i="36" s="1"/>
  <c r="H41" i="36" l="1"/>
  <c r="I41" i="36" s="1"/>
  <c r="J41" i="36" s="1"/>
  <c r="F42" i="36" s="1"/>
  <c r="H42" i="36" l="1"/>
  <c r="I42" i="36" s="1"/>
  <c r="J42" i="36" s="1"/>
  <c r="F43" i="36" s="1"/>
  <c r="H43" i="36" l="1"/>
  <c r="I43" i="36" s="1"/>
  <c r="J43" i="36" s="1"/>
  <c r="F44" i="36" s="1"/>
  <c r="H44" i="36" l="1"/>
  <c r="I44" i="36" s="1"/>
  <c r="J44" i="36" s="1"/>
  <c r="F45" i="36" s="1"/>
  <c r="H45" i="36" l="1"/>
  <c r="I45" i="36" s="1"/>
  <c r="J45" i="36" s="1"/>
  <c r="F46" i="36" s="1"/>
  <c r="H46" i="36" l="1"/>
  <c r="I46" i="36" s="1"/>
  <c r="J46" i="36" s="1"/>
  <c r="F47" i="36" s="1"/>
  <c r="H47" i="36" s="1"/>
  <c r="I47" i="36" s="1"/>
  <c r="J47" i="36" s="1"/>
  <c r="F48" i="36" s="1"/>
  <c r="H48" i="36" s="1"/>
  <c r="I48" i="36" s="1"/>
  <c r="J48" i="36" s="1"/>
  <c r="F49" i="36" s="1"/>
  <c r="H49" i="36" s="1"/>
  <c r="I49" i="36" s="1"/>
  <c r="J49" i="36" s="1"/>
  <c r="F50" i="36" s="1"/>
  <c r="H50" i="36" s="1"/>
  <c r="I50" i="36" s="1"/>
  <c r="J50" i="36" s="1"/>
  <c r="F51" i="36" s="1"/>
  <c r="H51" i="36" s="1"/>
  <c r="I51" i="36" s="1"/>
  <c r="J51" i="3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Rory Neubrander</author>
    <author>Zach Johnson</author>
  </authors>
  <commentList>
    <comment ref="C11" authorId="0" shapeId="0" xr:uid="{8ACC1A5B-CE93-4342-B9F8-F0A04973DF67}">
      <text>
        <r>
          <rPr>
            <b/>
            <sz val="9"/>
            <color indexed="81"/>
            <rFont val="Tahoma"/>
            <family val="2"/>
          </rPr>
          <t>Only inputs needed are for certain Sources of funds that don't apply to every project.  For example, a Seller's Note, or soft source of funds.</t>
        </r>
      </text>
    </comment>
    <comment ref="C13" authorId="0" shapeId="0" xr:uid="{F11AF79F-DFC5-4DA2-B4CD-7B51F7ECE84C}">
      <text>
        <r>
          <rPr>
            <b/>
            <sz val="9"/>
            <color indexed="81"/>
            <rFont val="Tahoma"/>
            <family val="2"/>
          </rPr>
          <t>Do not need to update this tab on a first/early underwrite if HUD 221 (D)(4) is not involved.</t>
        </r>
      </text>
    </comment>
    <comment ref="F41" authorId="0" shapeId="0" xr:uid="{7F748D84-B9C0-4A22-9700-6CB5517D14A1}">
      <text>
        <r>
          <rPr>
            <b/>
            <sz val="9"/>
            <color indexed="81"/>
            <rFont val="Tahoma"/>
            <family val="2"/>
          </rPr>
          <t>If N/A, insert "N/A"</t>
        </r>
      </text>
    </comment>
    <comment ref="H87" authorId="0" shapeId="0" xr:uid="{281164B6-166A-4459-8403-77E2DEAB9AB6}">
      <text>
        <r>
          <rPr>
            <b/>
            <sz val="9"/>
            <color indexed="81"/>
            <rFont val="Tahoma"/>
            <family val="2"/>
          </rPr>
          <t xml:space="preserve">Confirm 14% is correct for the particular state.  </t>
        </r>
      </text>
    </comment>
    <comment ref="H148" authorId="0" shapeId="0" xr:uid="{06911668-097D-44FA-B190-0D2336A7BDC6}">
      <text>
        <r>
          <rPr>
            <b/>
            <sz val="9"/>
            <color indexed="81"/>
            <rFont val="Tahoma"/>
            <family val="2"/>
          </rPr>
          <t xml:space="preserve">Insert as a % increase if applicable.  For example, 1.05 / 1.10 / 1.15 / 1.20
</t>
        </r>
      </text>
    </comment>
    <comment ref="O149" authorId="0" shapeId="0" xr:uid="{465ED948-AB8B-4B51-BB03-9CE3B33F4CF2}">
      <text>
        <r>
          <rPr>
            <b/>
            <sz val="9"/>
            <color indexed="81"/>
            <rFont val="Tahoma"/>
            <family val="2"/>
          </rPr>
          <t>This is important to help determine the 51% unit, as described in X135 (above and to the left).  The 2nd link in the "LIHTC Rent &amp; Income Restrictions" section will take you to a spreadsheet will all zip code median gross rents.
Recommend to save the excel file somewhere easy to access.  HUD will update the file each year; in 2021, the update came mid-February.</t>
        </r>
      </text>
    </comment>
    <comment ref="AC166" authorId="1" shapeId="0" xr:uid="{DB457454-696C-4480-81DF-7B5F73D35064}">
      <text>
        <r>
          <rPr>
            <b/>
            <sz val="9"/>
            <color indexed="81"/>
            <rFont val="Tahoma"/>
            <family val="2"/>
          </rPr>
          <t>To generate income and rent limits, input only the 60% income limits for 1 through 8 people. The rest of the income/rent limits will be calculated automatically.</t>
        </r>
      </text>
    </comment>
    <comment ref="AK183" authorId="0" shapeId="0" xr:uid="{B70C49B0-1B30-4FA5-A182-864672940796}">
      <text>
        <r>
          <rPr>
            <b/>
            <sz val="9"/>
            <color indexed="81"/>
            <rFont val="Tahoma"/>
            <family val="2"/>
          </rPr>
          <t>The FMRs for unit sizes larger than 4 bedroom are calculated by adding 15 percent to the 4 bedroom FMR for each extra bedroom. For example, the FMR for a 5 bedroom unit is 1.15 times the 4 bedroom FMR, and the FMR for a 6 bedroom unit is 1.30 times the 4 bedroom FMR, and so on...
5 BR = 1.15 x 4 BR FMR
6 BR = 1.30 x 4 BR FMR
7 BR = 1.45 x 4 BR FMR
8 BR = 1.60 x 4 BR FMR
9 BR = 1.75 x 4 BR FMR
10 BR = 1.90 x 4 BR FMR
11 BR = 2.05 x 4 BR FMR
12 BR = 2.20 x 4 BR FMR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Rory Neubrander</author>
  </authors>
  <commentList>
    <comment ref="M59" authorId="0" shapeId="0" xr:uid="{F3CC5CF5-8AA1-405E-B34C-B90E6D7116B4}">
      <text>
        <r>
          <rPr>
            <b/>
            <sz val="9"/>
            <color indexed="81"/>
            <rFont val="Tahoma"/>
            <family val="2"/>
          </rPr>
          <t>Does not need to be included with a Bridge execution.</t>
        </r>
      </text>
    </comment>
    <comment ref="N108" authorId="0" shapeId="0" xr:uid="{5DE82BA1-8423-45FD-9736-25929520AEB1}">
      <text>
        <r>
          <rPr>
            <b/>
            <sz val="9"/>
            <color indexed="81"/>
            <rFont val="Tahoma"/>
            <family val="2"/>
          </rPr>
          <t>If a site is fully or partially in a flood zone, per unit insurance expense s/b no less than $700/untit.</t>
        </r>
      </text>
    </comment>
    <comment ref="P108" authorId="0" shapeId="0" xr:uid="{79EFA251-3222-43AF-8A9B-36F828A40B92}">
      <text>
        <r>
          <rPr>
            <b/>
            <sz val="9"/>
            <color indexed="81"/>
            <rFont val="Tahoma"/>
            <family val="2"/>
          </rPr>
          <t>If a site is fully or partially in a flood zone, per unit insurance expense s/b no less than $700/untit.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Rory Neubrander</author>
  </authors>
  <commentList>
    <comment ref="F33" authorId="0" shapeId="0" xr:uid="{A71814AC-12AF-4D1F-8589-1BC60850095C}">
      <text>
        <r>
          <rPr>
            <b/>
            <sz val="9"/>
            <color indexed="81"/>
            <rFont val="Tahoma"/>
            <family val="2"/>
          </rPr>
          <t>Input only if Seller Note is applicable.</t>
        </r>
      </text>
    </comment>
    <comment ref="F34" authorId="0" shapeId="0" xr:uid="{EB4EEC42-F7FF-4805-A71B-C0FB4C113A21}">
      <text>
        <r>
          <rPr>
            <b/>
            <sz val="9"/>
            <color indexed="81"/>
            <rFont val="Tahoma"/>
            <family val="2"/>
          </rPr>
          <t>Input only if GP Loan/Contribution is applicable.</t>
        </r>
      </text>
    </comment>
    <comment ref="C38" authorId="0" shapeId="0" xr:uid="{1430F139-D477-4637-9E50-662F7ACF8865}">
      <text>
        <r>
          <rPr>
            <b/>
            <sz val="9"/>
            <color indexed="81"/>
            <rFont val="Tahoma"/>
            <family val="2"/>
          </rPr>
          <t>Soft debt sources do not need to be repaid.  If repayment is required, show this as a Hard Debt source and link payments to the Cash Flow tab in the noted area.</t>
        </r>
      </text>
    </comment>
    <comment ref="F38" authorId="0" shapeId="0" xr:uid="{680F303B-FFA4-48E8-A9ED-192EE33D108E}">
      <text>
        <r>
          <rPr>
            <b/>
            <sz val="9"/>
            <color indexed="81"/>
            <rFont val="Tahoma"/>
            <family val="2"/>
          </rPr>
          <t>Input only if a Soft Debt Source or additional Hard Debt Source is applicable.  See drop down list in cell C38.</t>
        </r>
      </text>
    </comment>
    <comment ref="C39" authorId="0" shapeId="0" xr:uid="{57136D74-4287-48F8-9F01-911C0C502828}">
      <text>
        <r>
          <rPr>
            <b/>
            <sz val="9"/>
            <color indexed="81"/>
            <rFont val="Tahoma"/>
            <family val="2"/>
          </rPr>
          <t>Soft debt sources do not need to be repaid.  If repayment is required, show this as a Hard Debt source and link payments to the Cash Flow tab in the noted area.
It is unlikely a project will have 3 sources of Hard Debt.</t>
        </r>
      </text>
    </comment>
    <comment ref="F39" authorId="0" shapeId="0" xr:uid="{6724762C-C96E-4BDE-ADF7-75FD4E6ED482}">
      <text>
        <r>
          <rPr>
            <b/>
            <sz val="9"/>
            <color indexed="81"/>
            <rFont val="Tahoma"/>
            <family val="2"/>
          </rPr>
          <t>Input only if a Soft Debt Source or additional Hard Debt Source is applicable.  See drop down list in cell C39.</t>
        </r>
      </text>
    </comment>
    <comment ref="F40" authorId="0" shapeId="0" xr:uid="{4FB94C0F-2711-46B1-A065-CAA3FD2CFF9B}">
      <text>
        <r>
          <rPr>
            <b/>
            <sz val="9"/>
            <color indexed="81"/>
            <rFont val="Tahoma"/>
            <family val="2"/>
          </rPr>
          <t>If this is a D4 execution this should probably be removed at the beginning.  It's not impossible, but it is more challenging and we'll need to enlist assistance.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Rory Neubrander</author>
  </authors>
  <commentList>
    <comment ref="C31" authorId="0" shapeId="0" xr:uid="{246167D0-CDDD-4F27-99DB-98F515F4F6CE}">
      <text>
        <r>
          <rPr>
            <b/>
            <sz val="9"/>
            <color indexed="81"/>
            <rFont val="Tahoma"/>
            <family val="2"/>
          </rPr>
          <t>Calculating FHA loans the same way HUD will for DSCR.
1) Determine maximum allowable Debt Service ---&gt;  NOI/DCR or NOI*1/1.15 (or whatever the DCR is set to)
2) Next Calculate the Debt Constant year 1:
     a. PMT(Rate/12, Years*12, -1)*12 + MIP
3) Divide the Debt Constant into the Allowed Debt Service = Loan Amount (for DSCR per HUD)</t>
        </r>
      </text>
    </comment>
    <comment ref="C33" authorId="0" shapeId="0" xr:uid="{005ED8CA-CC53-4FC2-94AC-ACFB93DC8E11}">
      <text>
        <r>
          <rPr>
            <b/>
            <sz val="9"/>
            <color indexed="81"/>
            <rFont val="Tahoma"/>
            <family val="2"/>
          </rPr>
          <t xml:space="preserve">The number in cell D33 needs to be hardcoded in this cell to avoid circular references.  The LTC calc. will be applicable if we are using a HUD 221 (D)(4) loan.
This calculation is an estimate; lenders will run their own calculation which may not match this exactly.
</t>
        </r>
      </text>
    </comment>
    <comment ref="C45" authorId="0" shapeId="0" xr:uid="{C76B15C7-26D9-498A-8E5A-8511B600C7BF}">
      <text>
        <r>
          <rPr>
            <b/>
            <sz val="9"/>
            <color indexed="81"/>
            <rFont val="Tahoma"/>
            <family val="2"/>
          </rPr>
          <t>Often, our calculated loan amounts will not exactly match those calculated by our lender.  When we have picked a lender, or are close to choosing a lender, we should start using this override to ensure the correct loan is being used.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Rory Neubrander</author>
  </authors>
  <commentList>
    <comment ref="F5" authorId="0" shapeId="0" xr:uid="{1D82C66A-999F-4C25-BECE-5C3445FF3EBA}">
      <text>
        <r>
          <rPr>
            <b/>
            <sz val="9"/>
            <color indexed="81"/>
            <rFont val="Tahoma"/>
            <family val="2"/>
          </rPr>
          <t>Adjust as needed when appraisal comes in.</t>
        </r>
      </text>
    </comment>
    <comment ref="L12" authorId="0" shapeId="0" xr:uid="{36BF1C73-81E9-4109-93BE-9742C28DD352}">
      <text>
        <r>
          <rPr>
            <b/>
            <sz val="9"/>
            <color indexed="81"/>
            <rFont val="Tahoma"/>
            <family val="2"/>
          </rPr>
          <t>If there is off-site site work, those costs are not basis eligible.  Therefore, the costs need to be allocated here.</t>
        </r>
      </text>
    </comment>
    <comment ref="F18" authorId="0" shapeId="0" xr:uid="{49F1EAF6-81A9-4EA7-B567-A6392A3F9689}">
      <text>
        <r>
          <rPr>
            <b/>
            <sz val="9"/>
            <color indexed="81"/>
            <rFont val="Tahoma"/>
            <family val="2"/>
          </rPr>
          <t>Only change if necessary per G.C. numbers.</t>
        </r>
      </text>
    </comment>
    <comment ref="F19" authorId="0" shapeId="0" xr:uid="{CE8DD7A3-B87E-45F7-BA1C-3DA73559DA71}">
      <text>
        <r>
          <rPr>
            <b/>
            <sz val="9"/>
            <color indexed="81"/>
            <rFont val="Tahoma"/>
            <family val="2"/>
          </rPr>
          <t>Only change if necessary per G.C. numbers.</t>
        </r>
      </text>
    </comment>
    <comment ref="F20" authorId="0" shapeId="0" xr:uid="{2BBDA5DD-C711-4B61-BBF4-92F54A8B7E3C}">
      <text>
        <r>
          <rPr>
            <b/>
            <sz val="9"/>
            <color indexed="81"/>
            <rFont val="Tahoma"/>
            <family val="2"/>
          </rPr>
          <t>Only input if applicable; these are not basis eligible costs.</t>
        </r>
      </text>
    </comment>
    <comment ref="F21" authorId="0" shapeId="0" xr:uid="{EFEF12C9-5C6D-4876-86CF-7D363AFBC2B4}">
      <text>
        <r>
          <rPr>
            <b/>
            <sz val="9"/>
            <color indexed="81"/>
            <rFont val="Tahoma"/>
            <family val="2"/>
          </rPr>
          <t>Only change as needed.</t>
        </r>
      </text>
    </comment>
    <comment ref="Z56" authorId="0" shapeId="0" xr:uid="{C0892D5B-D452-46B5-9326-A39BA8A30095}">
      <text>
        <r>
          <rPr>
            <b/>
            <sz val="9"/>
            <color indexed="81"/>
            <rFont val="Tahoma"/>
            <family val="2"/>
          </rPr>
          <t>If using a D4 loan, this interest calculation will need to be linked to the budget, and other construction interest calcs. will need to be "turned off."  Discuss w/team.</t>
        </r>
      </text>
    </comment>
    <comment ref="I69" authorId="0" shapeId="0" xr:uid="{10E2AB90-B759-4EAC-8B5E-49EC8BD9C260}">
      <text>
        <r>
          <rPr>
            <b/>
            <sz val="9"/>
            <color indexed="81"/>
            <rFont val="Tahoma"/>
            <family val="2"/>
          </rPr>
          <t>See First American fee estimator for ALTA Owner's Title estimate; website link is on Input Page, Cell I69.
Recording Fees need to be added to this amount.</t>
        </r>
      </text>
    </comment>
    <comment ref="F79" authorId="0" shapeId="0" xr:uid="{B2AB7364-DD89-4CF4-90FC-9631E8D9B48D}">
      <text>
        <r>
          <rPr>
            <b/>
            <sz val="9"/>
            <color indexed="81"/>
            <rFont val="Tahoma"/>
            <family val="2"/>
          </rPr>
          <t>Troy has negotiated this number; leave at $1,000/unit unless directed otherwise.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Rory Neubrander</author>
  </authors>
  <commentList>
    <comment ref="M8" authorId="0" shapeId="0" xr:uid="{1C835818-8A78-4A61-9104-68B5D722D421}">
      <text>
        <r>
          <rPr>
            <b/>
            <sz val="9"/>
            <color indexed="81"/>
            <rFont val="Tahoma"/>
            <family val="2"/>
          </rPr>
          <t>Discuss w/team if deal is historic.  This is a complicated structure that some syndicators will agree to.  Legal costs will increase.  However, the offset is an improvement to the tax credit amount.
In a typical historic transaction, the LIHTC rehab/new Eligible Basis is reduced by the federal historic credit amount.  This "master lease" structure gets around that basis reduction, thus producing a higher tax credit amount, and more equity dollars.</t>
        </r>
      </text>
    </comment>
    <comment ref="I11" authorId="0" shapeId="0" xr:uid="{ABD46CCE-B231-48FA-97F5-C922326B71D8}">
      <text>
        <r>
          <rPr>
            <b/>
            <sz val="9"/>
            <color indexed="81"/>
            <rFont val="Tahoma"/>
            <family val="2"/>
          </rPr>
          <t>Will typically either be 99.99% or 99.9%, depending on the syndicator.
Edit appropriately when known.</t>
        </r>
      </text>
    </comment>
    <comment ref="K11" authorId="0" shapeId="0" xr:uid="{877F7923-5932-4BEC-BD77-2FA1A9E117C8}">
      <text>
        <r>
          <rPr>
            <b/>
            <sz val="9"/>
            <color indexed="81"/>
            <rFont val="Tahoma"/>
            <family val="2"/>
          </rPr>
          <t>Will typically either be 99.99% or 99.9%, depending on the syndicator.
Edit appropriately when known.</t>
        </r>
      </text>
    </comment>
    <comment ref="M12" authorId="0" shapeId="0" xr:uid="{0B3DBD18-75B8-452E-BFD3-377AF5337A4F}">
      <text>
        <r>
          <rPr>
            <b/>
            <sz val="9"/>
            <color indexed="81"/>
            <rFont val="Tahoma"/>
            <family val="2"/>
          </rPr>
          <t>Once a credit amount is set, enter that number here so it overrides the automatic calculation to the left.</t>
        </r>
      </text>
    </comment>
    <comment ref="G16" authorId="0" shapeId="0" xr:uid="{1D947D0C-EB50-43FB-BBB7-3F742EE26099}">
      <text>
        <r>
          <rPr>
            <b/>
            <sz val="9"/>
            <color indexed="81"/>
            <rFont val="Tahoma"/>
            <family val="2"/>
          </rPr>
          <t>Confirm w/Syndicator
State QAP may have min./max. guidance as well.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Rory Neubrander</author>
  </authors>
  <commentList>
    <comment ref="D7" authorId="0" shapeId="0" xr:uid="{A1A82A18-4A70-44DA-BD81-1BE27B29C6D4}">
      <text>
        <r>
          <rPr>
            <b/>
            <sz val="9"/>
            <color indexed="81"/>
            <rFont val="Tahoma"/>
            <family val="2"/>
          </rPr>
          <t>No set rules for the percentages to use each month.  If you don't have a specific draw schedule from the G.C., input percentages in a bell curve pattern.</t>
        </r>
      </text>
    </comment>
    <comment ref="C14" authorId="0" shapeId="0" xr:uid="{3F5EB37B-09FA-432A-B45B-092595617E59}">
      <text>
        <r>
          <rPr>
            <b/>
            <sz val="9"/>
            <color indexed="81"/>
            <rFont val="Tahoma"/>
            <family val="2"/>
          </rPr>
          <t>Current inputs are decent estimates to start with.  Adjust as needed when equity offers are received.</t>
        </r>
      </text>
    </comment>
    <comment ref="B24" authorId="0" shapeId="0" xr:uid="{8916EF64-F7AC-413F-8610-E1A494C392A0}">
      <text>
        <r>
          <rPr>
            <b/>
            <sz val="9"/>
            <color indexed="81"/>
            <rFont val="Tahoma"/>
            <family val="2"/>
          </rPr>
          <t>Program payments per the terms of the funding source.</t>
        </r>
      </text>
    </comment>
    <comment ref="B25" authorId="0" shapeId="0" xr:uid="{D7F86491-EBDC-41BB-A3C5-5455617F3C5E}">
      <text>
        <r>
          <rPr>
            <b/>
            <sz val="9"/>
            <color indexed="81"/>
            <rFont val="Tahoma"/>
            <family val="2"/>
          </rPr>
          <t>Program payments per the terms of the funding source.</t>
        </r>
      </text>
    </comment>
    <comment ref="B26" authorId="0" shapeId="0" xr:uid="{A8C32DD6-A9D6-40A7-94CF-7CD0921E6022}">
      <text>
        <r>
          <rPr>
            <b/>
            <sz val="9"/>
            <color indexed="81"/>
            <rFont val="Tahoma"/>
            <family val="2"/>
          </rPr>
          <t>Allocated over the construction period.</t>
        </r>
      </text>
    </comment>
    <comment ref="B42" authorId="0" shapeId="0" xr:uid="{3ED545A0-0806-4B10-BF0F-4B3BD8862E9B}">
      <text>
        <r>
          <rPr>
            <b/>
            <sz val="9"/>
            <color indexed="81"/>
            <rFont val="Tahoma"/>
            <family val="2"/>
          </rPr>
          <t>No set rules on allocating this cost; it is a conservative assumption to spend this money sooner v. later.</t>
        </r>
      </text>
    </comment>
    <comment ref="B55" authorId="0" shapeId="0" xr:uid="{7D55CB3B-D9C5-475F-9729-92DD838BBA79}">
      <text>
        <r>
          <rPr>
            <b/>
            <sz val="9"/>
            <color indexed="81"/>
            <rFont val="Tahoma"/>
            <family val="2"/>
          </rPr>
          <t>Allocate as needed per the specific cost(s)</t>
        </r>
      </text>
    </comment>
    <comment ref="B69" authorId="0" shapeId="0" xr:uid="{80EBE689-B21C-499B-8E9F-CE836ED4F1D5}">
      <text>
        <r>
          <rPr>
            <b/>
            <sz val="9"/>
            <color indexed="81"/>
            <rFont val="Tahoma"/>
            <family val="2"/>
          </rPr>
          <t>Allocation will depend on the type and timing of mitigation.</t>
        </r>
      </text>
    </comment>
    <comment ref="B75" authorId="0" shapeId="0" xr:uid="{8551C078-242F-4CB6-955E-0F3B29B331FB}">
      <text>
        <r>
          <rPr>
            <b/>
            <sz val="9"/>
            <color indexed="81"/>
            <rFont val="Tahoma"/>
            <family val="2"/>
          </rPr>
          <t>Easiest to simply allocate these dollars straight line across the construction period.  The dollars will not actually be spent this way, but the impact is negligible.</t>
        </r>
      </text>
    </comment>
    <comment ref="B82" authorId="0" shapeId="0" xr:uid="{D2A03BEF-15C6-404E-ABD0-FF121B862EC4}">
      <text>
        <r>
          <rPr>
            <b/>
            <sz val="9"/>
            <color indexed="81"/>
            <rFont val="Tahoma"/>
            <family val="2"/>
          </rPr>
          <t>For simplicity, allocate these dollars straight line across the construction period.</t>
        </r>
      </text>
    </comment>
    <comment ref="B85" authorId="0" shapeId="0" xr:uid="{DC80EDCE-B5FC-4060-B742-9F2F28A9D5D4}">
      <text>
        <r>
          <rPr>
            <b/>
            <sz val="9"/>
            <color indexed="81"/>
            <rFont val="Tahoma"/>
            <family val="2"/>
          </rPr>
          <t>Allocate straight line across the construction period.</t>
        </r>
      </text>
    </comment>
    <comment ref="B112" authorId="0" shapeId="0" xr:uid="{31A04086-00E9-4572-947B-963C0C58EDBF}">
      <text>
        <r>
          <rPr>
            <b/>
            <sz val="9"/>
            <color indexed="81"/>
            <rFont val="Tahoma"/>
            <family val="2"/>
          </rPr>
          <t>Allocate based on Owner's preferences.</t>
        </r>
      </text>
    </comment>
    <comment ref="B122" authorId="0" shapeId="0" xr:uid="{266CC676-DAAA-40DA-A1BF-644985C1FDD6}">
      <text>
        <r>
          <rPr>
            <b/>
            <sz val="9"/>
            <color indexed="81"/>
            <rFont val="Tahoma"/>
            <family val="2"/>
          </rPr>
          <t>Plug in amount before units start leasing; but not at closing.</t>
        </r>
      </text>
    </comment>
    <comment ref="B135" authorId="0" shapeId="0" xr:uid="{CEEA077E-EF73-4E2D-A147-E8498F197B27}">
      <text>
        <r>
          <rPr>
            <b/>
            <sz val="9"/>
            <color indexed="81"/>
            <rFont val="Tahoma"/>
            <family val="2"/>
          </rPr>
          <t>Terms of the syndicator will drive when this reserve is funded.  Until terms are known, assume this will occur when the Perm. Debt conversion occurs.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<sst xmlns="http://schemas.openxmlformats.org/spreadsheetml/2006/main" count="1886" uniqueCount="1111">
  <si>
    <t>For Internal Record Keeping Only</t>
  </si>
  <si>
    <t>Version History</t>
  </si>
  <si>
    <t>No Formulas Are Attached To This Page</t>
  </si>
  <si>
    <t>Most Recent Update Should Be On Top</t>
  </si>
  <si>
    <t>Date of Update</t>
  </si>
  <si>
    <t>Explanation of Updates Since Last Version</t>
  </si>
  <si>
    <t>*FOR INTERNAL USE ONLY</t>
  </si>
  <si>
    <t>PRE DEVELOPMENT COSTS</t>
  </si>
  <si>
    <t>Estimate</t>
  </si>
  <si>
    <t>Actual Cost</t>
  </si>
  <si>
    <t>Paid Before Closing</t>
  </si>
  <si>
    <t>Delta</t>
  </si>
  <si>
    <t>Estimated Date</t>
  </si>
  <si>
    <t>Date Performed</t>
  </si>
  <si>
    <t>Acquisition/Entitlement</t>
  </si>
  <si>
    <t>Earnest Money Deposit</t>
  </si>
  <si>
    <t>Purchase Contract Extensions</t>
  </si>
  <si>
    <t>Zoning / Entitlements</t>
  </si>
  <si>
    <t>Other</t>
  </si>
  <si>
    <t>Professional Reports/3rd Party DD</t>
  </si>
  <si>
    <t>Architectural Fees</t>
  </si>
  <si>
    <t>Owner/Developer Legal</t>
  </si>
  <si>
    <t>State HFA Fees/Soft Fund Fees</t>
  </si>
  <si>
    <t>Lender Costs/Loan Fees</t>
  </si>
  <si>
    <t>Miscellaneous</t>
  </si>
  <si>
    <t>Travel Costs</t>
  </si>
  <si>
    <t>Copies</t>
  </si>
  <si>
    <t>TOTAL</t>
  </si>
  <si>
    <t>INSTRUCTIONS</t>
  </si>
  <si>
    <t>Who:</t>
  </si>
  <si>
    <t>Underwriter:</t>
  </si>
  <si>
    <t>Reviewer:</t>
  </si>
  <si>
    <t>(Name(s) of Person Checking This)</t>
  </si>
  <si>
    <t>What:</t>
  </si>
  <si>
    <t>Initialling next to the tab name below indicates that you have filled in the tab using the legend to the right</t>
  </si>
  <si>
    <t>Tab:</t>
  </si>
  <si>
    <t>Input Page</t>
  </si>
  <si>
    <t>LIHTC Exec Summary</t>
  </si>
  <si>
    <t>See comment in C11</t>
  </si>
  <si>
    <t>Income &amp; OpEx</t>
  </si>
  <si>
    <t>LIHTC Debt</t>
  </si>
  <si>
    <t>See comment in C13</t>
  </si>
  <si>
    <t>Development Costs</t>
  </si>
  <si>
    <t>Yes</t>
  </si>
  <si>
    <t>No</t>
  </si>
  <si>
    <t>Tax Credit Calculations</t>
  </si>
  <si>
    <t>Tab Colors Defined</t>
  </si>
  <si>
    <t>Red</t>
  </si>
  <si>
    <t>Hide this tab before sending it out</t>
  </si>
  <si>
    <t>Studio</t>
  </si>
  <si>
    <t>Light Purple</t>
  </si>
  <si>
    <t>Warehouse tabs; these s/b hidden when sending for LIHTC purposes (lenders/syndicators)</t>
  </si>
  <si>
    <t>1 Bedroom</t>
  </si>
  <si>
    <t xml:space="preserve">   These do not have inputs, BUT review when Warehouse is appropriate.  Be sure everything makes sense.</t>
  </si>
  <si>
    <t>2 Bedroom</t>
  </si>
  <si>
    <t>Green</t>
  </si>
  <si>
    <t>LIHTC tabs; these do not need to be hidden if sending for Warehouse purposes</t>
  </si>
  <si>
    <t>3 Bedroom</t>
  </si>
  <si>
    <t xml:space="preserve">   Most of these tabs have inputs that need to completed</t>
  </si>
  <si>
    <t>4 Bedroom</t>
  </si>
  <si>
    <t>Additional Instructions</t>
  </si>
  <si>
    <t>5 Bedroom</t>
  </si>
  <si>
    <t>1.  When sending externally or printing, hide some rows with all "0" values.  If printing, confirm print output looks professional.</t>
  </si>
  <si>
    <t>2.  When sending externally, hide information that's off to the side such as explanations, or error checks.</t>
  </si>
  <si>
    <t>3.  Print areas on certain pages might need to be redefined at times, depending on the information applicable to a deal.</t>
  </si>
  <si>
    <t>4.  When printing for external parties or sending externally, remove all the shading from cells.</t>
  </si>
  <si>
    <t>5.  Use the "Version History" tab to memorialize key changes to the model when versions change.</t>
  </si>
  <si>
    <t>PROPERTY INFORMATION:</t>
  </si>
  <si>
    <t>[Flood Zone Map Photo Here]</t>
  </si>
  <si>
    <t>Property Name</t>
  </si>
  <si>
    <t>Address</t>
  </si>
  <si>
    <t>City, State</t>
  </si>
  <si>
    <t>Zip Code:</t>
  </si>
  <si>
    <t>County</t>
  </si>
  <si>
    <t>Number of Units / Type</t>
  </si>
  <si>
    <t>Year Built / Renovation</t>
  </si>
  <si>
    <t>https://msc.fema.gov/portal/home</t>
  </si>
  <si>
    <t>Most Recent HAP Rents</t>
  </si>
  <si>
    <t>IF a M2M, When Does it Expire</t>
  </si>
  <si>
    <t>Flood Zone</t>
  </si>
  <si>
    <t>WAREHOUSE EXEC SUMMARY:</t>
  </si>
  <si>
    <t>GP Contribution</t>
  </si>
  <si>
    <t>Underwriter Notes:</t>
  </si>
  <si>
    <t>Directions:</t>
  </si>
  <si>
    <t>GP</t>
  </si>
  <si>
    <t>What percentage of the purchase price is Green National investing?</t>
  </si>
  <si>
    <t>LP</t>
  </si>
  <si>
    <t>What percentage of the purchase price is investors?</t>
  </si>
  <si>
    <t>Investor Need w/ Comp Int</t>
  </si>
  <si>
    <t>Compounding Rate:</t>
  </si>
  <si>
    <t>What is the required interest rate returns of the investor, if any?</t>
  </si>
  <si>
    <t>Year Until LIHTC</t>
  </si>
  <si>
    <t>What year do you anticipate the deal going into credits?</t>
  </si>
  <si>
    <t>Straight to Credits</t>
  </si>
  <si>
    <t>Warehouse to Credits</t>
  </si>
  <si>
    <t>ACQUISITION COSTS (WAREHOUSE DEBT):</t>
  </si>
  <si>
    <t>Warehouse Purchase Price:</t>
  </si>
  <si>
    <t>Acquisition Price:</t>
  </si>
  <si>
    <t>Warehouse purchase price.</t>
  </si>
  <si>
    <t>Prepayment Penalty:</t>
  </si>
  <si>
    <t>If there is an existing loan we need to payoff, put the full prepayment penalty here.</t>
  </si>
  <si>
    <t>Other:</t>
  </si>
  <si>
    <t>Due Dilligence Costs:</t>
  </si>
  <si>
    <t>ALTA Survey:</t>
  </si>
  <si>
    <t>Zoning Report:</t>
  </si>
  <si>
    <t>Rent Comp Study:</t>
  </si>
  <si>
    <t>Phase I:</t>
  </si>
  <si>
    <t>Phase II (if needed):</t>
  </si>
  <si>
    <t>Update if Phase II is needed</t>
  </si>
  <si>
    <t>PCNA:</t>
  </si>
  <si>
    <t>Legal Costs:</t>
  </si>
  <si>
    <t>Owner Legal Fees:</t>
  </si>
  <si>
    <t>Owner Regulatory:</t>
  </si>
  <si>
    <t>Lender Legas Fees:</t>
  </si>
  <si>
    <t>Financing Fees:</t>
  </si>
  <si>
    <t>Loan Fee:</t>
  </si>
  <si>
    <t>Other Loan Fees:</t>
  </si>
  <si>
    <t>Appraisal:</t>
  </si>
  <si>
    <t>RE Tax Escrow:</t>
  </si>
  <si>
    <t>Insurance Escrow:</t>
  </si>
  <si>
    <t>CapEx / Construction Costs:</t>
  </si>
  <si>
    <t>Required Capex:</t>
  </si>
  <si>
    <t>Elective CapEx:</t>
  </si>
  <si>
    <t>GC Fees:</t>
  </si>
  <si>
    <t>Closing Costs:</t>
  </si>
  <si>
    <t>Title Insurance Fees:</t>
  </si>
  <si>
    <t>https://facc.firstam.com/?SSID=0.3965602693778638</t>
  </si>
  <si>
    <t>Recording Fees:</t>
  </si>
  <si>
    <t>Owners Costs:</t>
  </si>
  <si>
    <t>GND Fee:</t>
  </si>
  <si>
    <t>DD Reimbursement:</t>
  </si>
  <si>
    <t>DEBT ANALYSIS</t>
  </si>
  <si>
    <t>ACQUISITION DEBT:</t>
  </si>
  <si>
    <t>Type of Loan:</t>
  </si>
  <si>
    <t>Conventional</t>
  </si>
  <si>
    <t>Based on the info you are putting below, what loan product are you assuming?</t>
  </si>
  <si>
    <t>NOI Analysis:</t>
  </si>
  <si>
    <t>Per Unit RR:</t>
  </si>
  <si>
    <t>Max Loan Value:</t>
  </si>
  <si>
    <t>Cap Rate:</t>
  </si>
  <si>
    <t>Based on the market. If assuming HUD debt, important to calculate</t>
  </si>
  <si>
    <t>% of Total</t>
  </si>
  <si>
    <t>Based on the type of loan</t>
  </si>
  <si>
    <t>Max Loan DSCR:</t>
  </si>
  <si>
    <t>DSCR:</t>
  </si>
  <si>
    <t>Amortization Years:</t>
  </si>
  <si>
    <t>Interest Rate:</t>
  </si>
  <si>
    <t>MIP, "Yes" or "No":</t>
  </si>
  <si>
    <t>If HUD loan, "Yes"</t>
  </si>
  <si>
    <t>Interest Only:</t>
  </si>
  <si>
    <t>Years IO:</t>
  </si>
  <si>
    <t>Check term sheet. If warehouse, likely IO</t>
  </si>
  <si>
    <t>LIHTC DEBT:</t>
  </si>
  <si>
    <t>Refer to QAP requirements</t>
  </si>
  <si>
    <t>Max Loan to Value:</t>
  </si>
  <si>
    <t>% of Value</t>
  </si>
  <si>
    <t>Check term sheet. Indicate loan type on LIHTC Exec Summ</t>
  </si>
  <si>
    <t>Check term sheet</t>
  </si>
  <si>
    <t>140/150% Test applies to the 51st% of the unit mix</t>
  </si>
  <si>
    <t>Unit</t>
  </si>
  <si>
    <t>is the 51% unit</t>
  </si>
  <si>
    <t>https://www.hud.gov/program_offices/housing/mfh/mfhsec8</t>
  </si>
  <si>
    <t>Progresses from Studio, to 1 BD, to 2 BD, to 3 BD, 4 BD.</t>
  </si>
  <si>
    <t>Max Loan to Cost:</t>
  </si>
  <si>
    <t>% of Cost</t>
  </si>
  <si>
    <t>Based on the type of loan (221 D4 has a LTC Restriction)</t>
  </si>
  <si>
    <t>Example:</t>
  </si>
  <si>
    <t>Unit Deal</t>
  </si>
  <si>
    <t>40 - One BR Units</t>
  </si>
  <si>
    <t>11 - Two BR Units</t>
  </si>
  <si>
    <t>49 - Three BR Units</t>
  </si>
  <si>
    <t>UNIT MIX ANALYSIS</t>
  </si>
  <si>
    <t>The 51% unit is one of the 2 BR units so the rent for the 2 BR unit is compared to the</t>
  </si>
  <si>
    <t xml:space="preserve">   Median Gross Rent by Zip Code.</t>
  </si>
  <si>
    <t>Initial MU2M Increase Assumption (PRIOR TO RCS Feedback)</t>
  </si>
  <si>
    <t>Unit Type</t>
  </si>
  <si>
    <t>Bathrooms</t>
  </si>
  <si>
    <t>AMI %</t>
  </si>
  <si>
    <t># Units</t>
  </si>
  <si>
    <t>Sq. Ft.</t>
  </si>
  <si>
    <t>Current HAP Rents / LIHTC Net Rents / Market Rents</t>
  </si>
  <si>
    <t>MU2M/Rehab Increase</t>
  </si>
  <si>
    <t>Post Rehab Rents</t>
  </si>
  <si>
    <t>LIHTC Rent Check</t>
  </si>
  <si>
    <t>Utility Allowance</t>
  </si>
  <si>
    <t>Gross Rents</t>
  </si>
  <si>
    <t>Max LIHTC Rent Per Noted AMI %</t>
  </si>
  <si>
    <t>FMR</t>
  </si>
  <si>
    <t>Zip Median Gross Rent</t>
  </si>
  <si>
    <t>140% Rent</t>
  </si>
  <si>
    <t>150% Rent</t>
  </si>
  <si>
    <t>ZIPCODE:</t>
  </si>
  <si>
    <t>HUD UNITS (SECTION 8)</t>
  </si>
  <si>
    <t>RCS Feedback</t>
  </si>
  <si>
    <t>Monthly Rent Total</t>
  </si>
  <si>
    <t>60% LIHTC Rents</t>
  </si>
  <si>
    <t>50% LIHTC Rents</t>
  </si>
  <si>
    <t>30% LIHTC Rents</t>
  </si>
  <si>
    <t>LIHTC UNITS</t>
  </si>
  <si>
    <t>Current LIHTC Net</t>
  </si>
  <si>
    <t>Rehab Increase</t>
  </si>
  <si>
    <t>LIHTC RENT &amp; INCOME RESTRICTIONS</t>
  </si>
  <si>
    <t>Effective Date:</t>
  </si>
  <si>
    <t>(HUD updates once annually)</t>
  </si>
  <si>
    <t>https://www.novoco.com/resource-centers/affordable-housing-tax-credits/rent-income-limit-calculator</t>
  </si>
  <si>
    <t>Novogradac Rent Calculator</t>
  </si>
  <si>
    <t>State:</t>
  </si>
  <si>
    <t>https://www.huduser.gov/portal/datasets/fmr/fmrs/FY2021_code/select_Geography.odn</t>
  </si>
  <si>
    <t>Fair Market Rents</t>
  </si>
  <si>
    <t>County:</t>
  </si>
  <si>
    <t>County Median Income</t>
  </si>
  <si>
    <t>1 Person</t>
  </si>
  <si>
    <t>2 Persons</t>
  </si>
  <si>
    <t>3 Persons</t>
  </si>
  <si>
    <t>4 Persons</t>
  </si>
  <si>
    <t>Total Affordable</t>
  </si>
  <si>
    <t>5 Persons</t>
  </si>
  <si>
    <t>6 Persons</t>
  </si>
  <si>
    <t>MARKET UNITS</t>
  </si>
  <si>
    <t>Proposed Mkt. Rents</t>
  </si>
  <si>
    <t>7 Persons</t>
  </si>
  <si>
    <t>8 Persons</t>
  </si>
  <si>
    <t>Unit Gross Rent Restrictions</t>
  </si>
  <si>
    <t>High HOME</t>
  </si>
  <si>
    <t>Low HOME</t>
  </si>
  <si>
    <t>Total Market</t>
  </si>
  <si>
    <t>Total</t>
  </si>
  <si>
    <t>Utility Allowance Calc.</t>
  </si>
  <si>
    <t>Heat</t>
  </si>
  <si>
    <t>Electric</t>
  </si>
  <si>
    <t>If you have a breakdown of the current U/A, please enter</t>
  </si>
  <si>
    <t>Cooking</t>
  </si>
  <si>
    <t xml:space="preserve">as shown in this table.  If there is no breakdown, but you </t>
  </si>
  <si>
    <t>Hot Water</t>
  </si>
  <si>
    <t>have the totals, please enter those totals in the "Other"</t>
  </si>
  <si>
    <t>Other Elect.</t>
  </si>
  <si>
    <t xml:space="preserve">row.  </t>
  </si>
  <si>
    <t>A/C</t>
  </si>
  <si>
    <t>Water</t>
  </si>
  <si>
    <t>With a LIHTC only property, if you have no U/A information</t>
  </si>
  <si>
    <t>Sewer</t>
  </si>
  <si>
    <t>please insert an estimate in the "Other" row.  Consult Troy/Andrew/Rory</t>
  </si>
  <si>
    <t>Trash</t>
  </si>
  <si>
    <t>for a placeholder.</t>
  </si>
  <si>
    <t xml:space="preserve">Warehouse Cover Page </t>
  </si>
  <si>
    <t>WAREHOUSE EXECUTIVE SUMMARY</t>
  </si>
  <si>
    <t>PROPERTY INFORMATION</t>
  </si>
  <si>
    <t>TIME STAMP:</t>
  </si>
  <si>
    <t>Number of Units</t>
  </si>
  <si>
    <t>WAREHOUSE DEBT SOURCES AND USES</t>
  </si>
  <si>
    <t xml:space="preserve"> </t>
  </si>
  <si>
    <t>WAREHOUSE DEBT ASSUMPTIONS</t>
  </si>
  <si>
    <t>Uses</t>
  </si>
  <si>
    <t> </t>
  </si>
  <si>
    <t>Per Unit</t>
  </si>
  <si>
    <t>Loan Type</t>
  </si>
  <si>
    <t>Loan To Purchase Price Ratio</t>
  </si>
  <si>
    <t>Purchase Price</t>
  </si>
  <si>
    <t>Loan Proceeds</t>
  </si>
  <si>
    <t>Due Diligence Cost</t>
  </si>
  <si>
    <t xml:space="preserve">Index </t>
  </si>
  <si>
    <t>Legal Costs</t>
  </si>
  <si>
    <t>Spread</t>
  </si>
  <si>
    <t>Financing Fees</t>
  </si>
  <si>
    <t>Mortgage Insurance Premium</t>
  </si>
  <si>
    <t>Loan To Value Ratio</t>
  </si>
  <si>
    <t>CapEx / Construction Costs</t>
  </si>
  <si>
    <t>Interest Rate</t>
  </si>
  <si>
    <t>Closing Cots</t>
  </si>
  <si>
    <t>Interest Only (Months)</t>
  </si>
  <si>
    <t>Owner Costs</t>
  </si>
  <si>
    <t>Amortization Period</t>
  </si>
  <si>
    <t>Total Uses</t>
  </si>
  <si>
    <t>Principal Payment</t>
  </si>
  <si>
    <t>Sources = Uses Check</t>
  </si>
  <si>
    <t>Interest Payments</t>
  </si>
  <si>
    <t>Sources</t>
  </si>
  <si>
    <t>Warehouse Loan (First Mortgage)</t>
  </si>
  <si>
    <t>Second Mortgage</t>
  </si>
  <si>
    <t>Annual Amortized Debt Service</t>
  </si>
  <si>
    <t>GP Equity</t>
  </si>
  <si>
    <t>DSCR</t>
  </si>
  <si>
    <t>Total Sources</t>
  </si>
  <si>
    <t>PROJECTED INVESTMENT RETURNS</t>
  </si>
  <si>
    <t>Sponsor</t>
  </si>
  <si>
    <t>Investor</t>
  </si>
  <si>
    <t>Investor ROI</t>
  </si>
  <si>
    <t>Cash on Cash Y1</t>
  </si>
  <si>
    <t>Cash on Cash Y2</t>
  </si>
  <si>
    <t>Cash on Cash Y3</t>
  </si>
  <si>
    <t>Cash on Cash Y4</t>
  </si>
  <si>
    <t>Investor Only - "Capital Event" assumes a 5% increase in value</t>
  </si>
  <si>
    <t>Cash on Cash Y5</t>
  </si>
  <si>
    <t>CF Y1 +</t>
  </si>
  <si>
    <t>CF Y2 +</t>
  </si>
  <si>
    <t>CF Y3 +</t>
  </si>
  <si>
    <t>CF Y4 +</t>
  </si>
  <si>
    <t>CF Y5 +</t>
  </si>
  <si>
    <t>Investor IRR after Capital Event</t>
  </si>
  <si>
    <t>- Initial investment</t>
  </si>
  <si>
    <t>Cap Event</t>
  </si>
  <si>
    <t>GoalSeek to 14%</t>
  </si>
  <si>
    <t>IRR in Y1</t>
  </si>
  <si>
    <t>IRR in Y2</t>
  </si>
  <si>
    <t>IRR in Y3</t>
  </si>
  <si>
    <t>IRR in Y4</t>
  </si>
  <si>
    <t>IRR in Y5</t>
  </si>
  <si>
    <t>Investor Need w/ Comp. Interest</t>
  </si>
  <si>
    <t>Months</t>
  </si>
  <si>
    <t>Interest:</t>
  </si>
  <si>
    <t>Equity Multiples</t>
  </si>
  <si>
    <t>Year 1</t>
  </si>
  <si>
    <t>Year 2</t>
  </si>
  <si>
    <t>Year 3</t>
  </si>
  <si>
    <t>Year 4</t>
  </si>
  <si>
    <t>Year 5</t>
  </si>
  <si>
    <t>ACQUISITION (WAREHOUSE) DEBT ANALYSIS</t>
  </si>
  <si>
    <t>NOI Analysis</t>
  </si>
  <si>
    <t>ACQUISITION DEBT AMMORTIZATION SCHEDULE</t>
  </si>
  <si>
    <t>Total Revenue</t>
  </si>
  <si>
    <t>Loan Amount</t>
  </si>
  <si>
    <t>Less: Total Operating Expenses</t>
  </si>
  <si>
    <t>Operating Income</t>
  </si>
  <si>
    <t>Amortization</t>
  </si>
  <si>
    <t>Less Replacement Reserves</t>
  </si>
  <si>
    <t>Payment</t>
  </si>
  <si>
    <t>Projected NOI</t>
  </si>
  <si>
    <t>Maximum Loan - Loan To Value (LTV)</t>
  </si>
  <si>
    <t>Beginning Balance</t>
  </si>
  <si>
    <t>Interest</t>
  </si>
  <si>
    <t>Principal</t>
  </si>
  <si>
    <t>Ending Balance</t>
  </si>
  <si>
    <t>Plus: Revision</t>
  </si>
  <si>
    <t>Revised NOI</t>
  </si>
  <si>
    <t>Capitalization Rate</t>
  </si>
  <si>
    <t>Anticipated Value</t>
  </si>
  <si>
    <t>Loan to Value Limitation</t>
  </si>
  <si>
    <t>Maximum Loan Based on Valuation</t>
  </si>
  <si>
    <t>Maximum Loan - Debt Cover Analysis</t>
  </si>
  <si>
    <t>Less: Total Debt Service</t>
  </si>
  <si>
    <t>Cash Flow</t>
  </si>
  <si>
    <t>Debt Service Coverage on First Mortgage</t>
  </si>
  <si>
    <t>Loan Amortization (Years)</t>
  </si>
  <si>
    <t>MIP</t>
  </si>
  <si>
    <t>Total Interest Rate</t>
  </si>
  <si>
    <t>Maximum Loan Based on Debt Coverage</t>
  </si>
  <si>
    <t>Maximum Loan</t>
  </si>
  <si>
    <t>Maximum Loan based on Valuation</t>
  </si>
  <si>
    <t>Maximum Loan based on Debt Coverage</t>
  </si>
  <si>
    <t>Maximum Loan Amount</t>
  </si>
  <si>
    <t>Interest Only (Months) Annual Payment</t>
  </si>
  <si>
    <t>WAREHOUSE ACQUISITION COSTS</t>
  </si>
  <si>
    <t>Total Cost</t>
  </si>
  <si>
    <t>CapEx / Construction Cost</t>
  </si>
  <si>
    <t>Required Capital Expenditures</t>
  </si>
  <si>
    <t>Prepayment Penalty</t>
  </si>
  <si>
    <t>Other Capital Expenditures</t>
  </si>
  <si>
    <t>GC Fees</t>
  </si>
  <si>
    <t>Total Purchase Cost</t>
  </si>
  <si>
    <t>Total Construction Cost</t>
  </si>
  <si>
    <t>ALTA Survey</t>
  </si>
  <si>
    <t>Closing Cost</t>
  </si>
  <si>
    <t>Zoning Report</t>
  </si>
  <si>
    <t xml:space="preserve">Title Insurance Fees </t>
  </si>
  <si>
    <t>Rent Comp Study</t>
  </si>
  <si>
    <t>Recording Fees</t>
  </si>
  <si>
    <t>Phase I Environmental</t>
  </si>
  <si>
    <t>Other/Misc. Closing Costs</t>
  </si>
  <si>
    <t>Phase II Environmental</t>
  </si>
  <si>
    <t>Total Closing Cost</t>
  </si>
  <si>
    <t>Property Condition Assessment</t>
  </si>
  <si>
    <t>Owner Cost</t>
  </si>
  <si>
    <t>Total Due Diligence Cost</t>
  </si>
  <si>
    <t>GND Fee</t>
  </si>
  <si>
    <t>Reimbursement for Insurance Deductible</t>
  </si>
  <si>
    <t>Legal Cost</t>
  </si>
  <si>
    <t>Legal Fees-Owner</t>
  </si>
  <si>
    <t>Total Owner Cost</t>
  </si>
  <si>
    <t>Legal Fees-Regulatory</t>
  </si>
  <si>
    <t>Legal Fess-Perm Lender</t>
  </si>
  <si>
    <t>Total Project Cost</t>
  </si>
  <si>
    <t>Total Legal Cost</t>
  </si>
  <si>
    <t>Loan Fee</t>
  </si>
  <si>
    <t>Application/Other Loan Fees/Charges</t>
  </si>
  <si>
    <t>Appraisal</t>
  </si>
  <si>
    <t>RE Tax Escrow Deposit</t>
  </si>
  <si>
    <t>Insurance Escrow Deposit</t>
  </si>
  <si>
    <t>Total Financing Fees</t>
  </si>
  <si>
    <t>WAREHOUSE 10-YEAR CASH FLOW</t>
  </si>
  <si>
    <t>Account</t>
  </si>
  <si>
    <t>Description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</si>
  <si>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</si>
  <si>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</si>
  <si>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</si>
  <si>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</si>
  <si>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</si>
  <si>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</si>
  <si>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</si>
  <si>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</si>
  <si>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</si>
  <si>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</si>
  <si>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Gross Potential</t>
  </si>
  <si>
    <t xml:space="preserve"> Rental Income - Residential</t>
  </si>
  <si>
    <t xml:space="preserve"> Rental Income - Tenant Assist.</t>
  </si>
  <si>
    <t xml:space="preserve"> Rental Income  - Commercial</t>
  </si>
  <si>
    <t xml:space="preserve"> Rental Income  - Cell Tower</t>
  </si>
  <si>
    <t xml:space="preserve"> Rental Income - Misc. - Pet Fee Income, CAM</t>
  </si>
  <si>
    <t xml:space="preserve"> Special Claims Revenue</t>
  </si>
  <si>
    <t>Vacancies</t>
  </si>
  <si>
    <t>Free Rent /Rent Loss/Late Fees/Rent Concession</t>
  </si>
  <si>
    <t>Net Rental Revenue</t>
  </si>
  <si>
    <t>Financial Revenues</t>
  </si>
  <si>
    <t xml:space="preserve"> Interest Income (Checkbook)</t>
  </si>
  <si>
    <t xml:space="preserve"> Interest subsidy</t>
  </si>
  <si>
    <t xml:space="preserve"> Interest Income - Rep. Reserve</t>
  </si>
  <si>
    <t xml:space="preserve"> Interest Income - Investments</t>
  </si>
  <si>
    <t>Other Revenue</t>
  </si>
  <si>
    <t xml:space="preserve"> Laundry &amp; Vending Inc.</t>
  </si>
  <si>
    <t xml:space="preserve"> NSF &amp; Late Charges</t>
  </si>
  <si>
    <t xml:space="preserve"> Damages &amp; Cleaning Fees</t>
  </si>
  <si>
    <t xml:space="preserve"> Forfeited Tenant Deposit</t>
  </si>
  <si>
    <t xml:space="preserve"> Other Revenue </t>
  </si>
  <si>
    <t>Expenses:</t>
  </si>
  <si>
    <t>Administrative Expenses</t>
  </si>
  <si>
    <t xml:space="preserve"> Conventions &amp; Meeting</t>
  </si>
  <si>
    <t xml:space="preserve"> Management Consultants</t>
  </si>
  <si>
    <t xml:space="preserve"> Advertising</t>
  </si>
  <si>
    <t xml:space="preserve"> Eviction/Moving Costs</t>
  </si>
  <si>
    <t xml:space="preserve"> Other Renting/Screening Exp</t>
  </si>
  <si>
    <t xml:space="preserve"> Office/Leasing Salaries</t>
  </si>
  <si>
    <t xml:space="preserve"> Office Expenses</t>
  </si>
  <si>
    <t xml:space="preserve"> Model Apartment</t>
  </si>
  <si>
    <t xml:space="preserve"> Management Fee</t>
  </si>
  <si>
    <t xml:space="preserve"> Management fee CAM</t>
  </si>
  <si>
    <t xml:space="preserve"> Innovative Housing </t>
  </si>
  <si>
    <t xml:space="preserve"> Manager Salaries</t>
  </si>
  <si>
    <t xml:space="preserve"> Employee rent free unit</t>
  </si>
  <si>
    <t xml:space="preserve"> Legal Expense</t>
  </si>
  <si>
    <t xml:space="preserve"> Audit Expense</t>
  </si>
  <si>
    <t xml:space="preserve"> Bookkeeping/Acct. Fees</t>
  </si>
  <si>
    <t xml:space="preserve"> Telephone/Answering Ser.</t>
  </si>
  <si>
    <t xml:space="preserve"> Bad Debts</t>
  </si>
  <si>
    <t xml:space="preserve"> Admin/MIS/Training/Educ</t>
  </si>
  <si>
    <t>Utilities Expense</t>
  </si>
  <si>
    <t xml:space="preserve"> Steam Charges</t>
  </si>
  <si>
    <t xml:space="preserve"> Electricity</t>
  </si>
  <si>
    <t xml:space="preserve"> Electricity CAM</t>
  </si>
  <si>
    <t xml:space="preserve"> Water</t>
  </si>
  <si>
    <t xml:space="preserve"> Gas CAM</t>
  </si>
  <si>
    <t xml:space="preserve"> Sewer</t>
  </si>
  <si>
    <t>Operating/Maint. Expenses</t>
  </si>
  <si>
    <t xml:space="preserve"> Janitor/Cleaning Payroll</t>
  </si>
  <si>
    <t xml:space="preserve"> Janitor/Cleaning Payroll CAM</t>
  </si>
  <si>
    <t xml:space="preserve"> Cleaning Supplies/Uniforms</t>
  </si>
  <si>
    <t xml:space="preserve"> Janitor/Cleaning Contract</t>
  </si>
  <si>
    <t xml:space="preserve"> Exterminating Contract</t>
  </si>
  <si>
    <t xml:space="preserve"> Exterminating Supplies</t>
  </si>
  <si>
    <t xml:space="preserve"> Garbage &amp; Trash Removal</t>
  </si>
  <si>
    <t xml:space="preserve"> Security/Alarm Sys/Fire Prot.</t>
  </si>
  <si>
    <t xml:space="preserve"> Grounds Payroll</t>
  </si>
  <si>
    <t xml:space="preserve"> Grounds Supplies/Equipment</t>
  </si>
  <si>
    <t xml:space="preserve"> Grounds Contract</t>
  </si>
  <si>
    <t xml:space="preserve"> Repairs/Maintenance Payroll</t>
  </si>
  <si>
    <t xml:space="preserve"> Repairs/Maint. Mat.&amp; Supplies</t>
  </si>
  <si>
    <t xml:space="preserve"> Repairs/Maint. Contract</t>
  </si>
  <si>
    <t xml:space="preserve"> Appliances</t>
  </si>
  <si>
    <t xml:space="preserve"> Elevator Maint./Contract</t>
  </si>
  <si>
    <t xml:space="preserve"> Heat/Cooling Repairs</t>
  </si>
  <si>
    <t xml:space="preserve"> Swim Pool Maint/Contract</t>
  </si>
  <si>
    <t xml:space="preserve"> Snow Removal</t>
  </si>
  <si>
    <t xml:space="preserve"> Decorating Contract</t>
  </si>
  <si>
    <t xml:space="preserve"> Decorating Supplies/Materials</t>
  </si>
  <si>
    <t xml:space="preserve"> Vehicle Maint/Repairs/Lease/Mi</t>
  </si>
  <si>
    <t xml:space="preserve"> Misc. Maint./Operating</t>
  </si>
  <si>
    <t>Taxes &amp; Insurance</t>
  </si>
  <si>
    <t xml:space="preserve"> Real Estate Taxes</t>
  </si>
  <si>
    <t xml:space="preserve"> Payroll Taxes</t>
  </si>
  <si>
    <t xml:space="preserve"> MiscTaxes/Lic/Dues/Fees/Permit</t>
  </si>
  <si>
    <t xml:space="preserve"> Property Insurance</t>
  </si>
  <si>
    <t xml:space="preserve"> Fidelity Bond Insurance</t>
  </si>
  <si>
    <t xml:space="preserve"> Workmen's Compensation</t>
  </si>
  <si>
    <t xml:space="preserve"> Health Ins./Other Emp Benefits</t>
  </si>
  <si>
    <t xml:space="preserve"> Other Insurance</t>
  </si>
  <si>
    <t>Total Operating Expenses</t>
  </si>
  <si>
    <t>Net Operating Income</t>
  </si>
  <si>
    <t>Warehouse Debt</t>
  </si>
  <si>
    <t>Replacement Reserves</t>
  </si>
  <si>
    <t xml:space="preserve">Net Cash Flow </t>
  </si>
  <si>
    <t>Debt Service Coverage Ratio</t>
  </si>
  <si>
    <t>Assumptions</t>
  </si>
  <si>
    <t>Income</t>
  </si>
  <si>
    <t>Expenses</t>
  </si>
  <si>
    <t>Vacancy</t>
  </si>
  <si>
    <t>Depreciation Expense</t>
  </si>
  <si>
    <t xml:space="preserve"> Dep Exp - Land Improvement</t>
  </si>
  <si>
    <t xml:space="preserve"> Dep Exp - Buildings</t>
  </si>
  <si>
    <t xml:space="preserve"> Dep Exp - Bldg Improvements</t>
  </si>
  <si>
    <t xml:space="preserve"> Dep Exp - Bldg Equip. Fixed</t>
  </si>
  <si>
    <t xml:space="preserve"> Dep Exp - Bldg Equip Portable</t>
  </si>
  <si>
    <t xml:space="preserve"> Dep Exp - Furniture &amp; Fixtures</t>
  </si>
  <si>
    <t xml:space="preserve"> Dep Exp - Furnish/Carpeting</t>
  </si>
  <si>
    <t xml:space="preserve"> Dep Exp - Equipment/Appliances</t>
  </si>
  <si>
    <t xml:space="preserve"> Dep Exp - Motor Vehicle</t>
  </si>
  <si>
    <t>Financial Expenses</t>
  </si>
  <si>
    <t xml:space="preserve"> Interest - Bonds Payable</t>
  </si>
  <si>
    <t xml:space="preserve"> Mortgage Interest</t>
  </si>
  <si>
    <t xml:space="preserve"> Interest - LT Notes Payable</t>
  </si>
  <si>
    <t xml:space="preserve"> Interest - ST Notes Payable</t>
  </si>
  <si>
    <t xml:space="preserve"> Interest - Construction Loan</t>
  </si>
  <si>
    <t xml:space="preserve"> Mortgage Insurance</t>
  </si>
  <si>
    <t xml:space="preserve"> Security Deposit Interest Exp</t>
  </si>
  <si>
    <t xml:space="preserve"> Financial/Amortization</t>
  </si>
  <si>
    <t>Total Dep &amp; Interest</t>
  </si>
  <si>
    <t>Recreation Expense</t>
  </si>
  <si>
    <t xml:space="preserve"> Recreation/Community Room</t>
  </si>
  <si>
    <t>Corp Entity Income/Expenses</t>
  </si>
  <si>
    <t>Entity  - Interest Income</t>
  </si>
  <si>
    <t>Entity - Expense</t>
  </si>
  <si>
    <t>Net Income</t>
  </si>
  <si>
    <t>Waterfall Equity Structure</t>
  </si>
  <si>
    <t>- 100% to LP</t>
  </si>
  <si>
    <t>Error Check</t>
  </si>
  <si>
    <t>- 13% IRR to LP and then everything flips to Sponsor</t>
  </si>
  <si>
    <t>Net Project CF</t>
  </si>
  <si>
    <t>Net Partnership CF</t>
  </si>
  <si>
    <t>Partnership Structure</t>
  </si>
  <si>
    <t>IRR</t>
  </si>
  <si>
    <t>Sponsor Equity Share</t>
  </si>
  <si>
    <t>Preferred Return</t>
  </si>
  <si>
    <t>LP Equity Share</t>
  </si>
  <si>
    <t>Hurdle 2</t>
  </si>
  <si>
    <t xml:space="preserve">Total Equity </t>
  </si>
  <si>
    <t>Hurdle 3</t>
  </si>
  <si>
    <t>Sponsor Cash Flow</t>
  </si>
  <si>
    <t>Distributions</t>
  </si>
  <si>
    <t>Contributions</t>
  </si>
  <si>
    <t>Net Cash Flow</t>
  </si>
  <si>
    <t>Equity Multiple</t>
  </si>
  <si>
    <t>LP Cash Flow</t>
  </si>
  <si>
    <t>Property-Level Cash Flow</t>
  </si>
  <si>
    <t>Levered cash flow</t>
  </si>
  <si>
    <t>Levered IRR</t>
  </si>
  <si>
    <t>Hurdle 1 - Preferred Return and Return of Capital</t>
  </si>
  <si>
    <t>Beginning Balance (LP Capital Account)</t>
  </si>
  <si>
    <t>LP Req'd Return to hit Hurdle 1</t>
  </si>
  <si>
    <t>Contributions from LP</t>
  </si>
  <si>
    <t>Distributions to LP (Hurdle 1)</t>
  </si>
  <si>
    <t>Ending Balance (LP Capital Account)</t>
  </si>
  <si>
    <t>LP IRR Error Check</t>
  </si>
  <si>
    <t>Contributions from Sponsor</t>
  </si>
  <si>
    <t>Distributions to Sponsor</t>
  </si>
  <si>
    <t>Sponsor IRR Error Check</t>
  </si>
  <si>
    <t>Total Distributions</t>
  </si>
  <si>
    <t>Cash Flow Remaining</t>
  </si>
  <si>
    <t>LP Req'd Return to hit Hurdle 2</t>
  </si>
  <si>
    <t>Prior Distributions</t>
  </si>
  <si>
    <t>Distributions to LP (Hurdle 2)</t>
  </si>
  <si>
    <t>Distributions to LP</t>
  </si>
  <si>
    <t xml:space="preserve">LIHTC Cover Page </t>
  </si>
  <si>
    <t>LIIHTC EXECUTIVE SUMMARY</t>
  </si>
  <si>
    <t>NOTES &amp; CHECKS:</t>
  </si>
  <si>
    <t>PERM SOURCES AND USES</t>
  </si>
  <si>
    <t>PERM LOAN INFORMATION</t>
  </si>
  <si>
    <t>Warehouse</t>
  </si>
  <si>
    <t>Warehouse/Unit</t>
  </si>
  <si>
    <t>Post Rehab</t>
  </si>
  <si>
    <t>Post Rehab/Unit</t>
  </si>
  <si>
    <t>Debt Per Unit</t>
  </si>
  <si>
    <t>Check with Lender</t>
  </si>
  <si>
    <t>GN Controllable Expenses</t>
  </si>
  <si>
    <t>Interest Only (Years)</t>
  </si>
  <si>
    <t xml:space="preserve">   (excl. RE Tax &amp; Prop. Ins.)</t>
  </si>
  <si>
    <t>Total Uses As Shown on Const. Drawdown</t>
  </si>
  <si>
    <t>Tax Exempt Financing</t>
  </si>
  <si>
    <t>DEFERRED DEVELOPER FEE TEST</t>
  </si>
  <si>
    <t>Federal LIHTC Equity</t>
  </si>
  <si>
    <t>Deferred Fee Total:</t>
  </si>
  <si>
    <t>Income During Operations</t>
  </si>
  <si>
    <t>Paid Within 12 Years</t>
  </si>
  <si>
    <t>- If no, check with HFA rules</t>
  </si>
  <si>
    <t>Seller Note</t>
  </si>
  <si>
    <t>Paid Within 15 Years</t>
  </si>
  <si>
    <t>- If no, project won't work</t>
  </si>
  <si>
    <t>GP Loan/Contribution</t>
  </si>
  <si>
    <t>Deferred Fee % of Total Fee</t>
  </si>
  <si>
    <t>- If greater than 50%, check with HFA</t>
  </si>
  <si>
    <t>State LIHTC Equity</t>
  </si>
  <si>
    <t xml:space="preserve">Max Deferred Fee </t>
  </si>
  <si>
    <t>Federal Historic Credit Equity</t>
  </si>
  <si>
    <t>Free Cash Flow (Y1)</t>
  </si>
  <si>
    <t>State Historic Credit Equity</t>
  </si>
  <si>
    <t>Paid Developer Fee</t>
  </si>
  <si>
    <t>Soft Debt 1</t>
  </si>
  <si>
    <t>Soft Debt 2</t>
  </si>
  <si>
    <t>Interim Income (expenses paid)</t>
  </si>
  <si>
    <t>Deferred Developer Fee</t>
  </si>
  <si>
    <t>Total Sources As Shown on Const. Drawdown</t>
  </si>
  <si>
    <t>TAX CREDIT ASSUMPTIONS</t>
  </si>
  <si>
    <t>BOND AMOUNT</t>
  </si>
  <si>
    <t>Total Qualified Basis</t>
  </si>
  <si>
    <t>Basis + Land</t>
  </si>
  <si>
    <t xml:space="preserve">Annual Tax Credit </t>
  </si>
  <si>
    <t>Bond Amount</t>
  </si>
  <si>
    <t>Total Tax Credits for 10 Years</t>
  </si>
  <si>
    <t>50% Test</t>
  </si>
  <si>
    <t>Credit Price</t>
  </si>
  <si>
    <t>Tax Credit Equity Investment</t>
  </si>
  <si>
    <t>UNIT MIX</t>
  </si>
  <si>
    <t>Sqft</t>
  </si>
  <si>
    <t>Max. LIHTC Rents Per Noted AMI %</t>
  </si>
  <si>
    <t>Zip Median Income</t>
  </si>
  <si>
    <t>- 140/150% Test applies to the 51st% of the unit mix</t>
  </si>
  <si>
    <t>Total HUD/SECTION 8 Units</t>
  </si>
  <si>
    <t>Total LIHTC Units</t>
  </si>
  <si>
    <t>Total Market Rate Units</t>
  </si>
  <si>
    <t>TOTALS</t>
  </si>
  <si>
    <t>EXPENSE ASSUMPTIONS</t>
  </si>
  <si>
    <t>When printing, hide rows with no values; this will help the print format.</t>
  </si>
  <si>
    <t>Most Recent T-12</t>
  </si>
  <si>
    <t>T-12 &amp; Warehouse Comp</t>
  </si>
  <si>
    <t>T-12 &amp; LIHTC Comp</t>
  </si>
  <si>
    <t>Notes</t>
  </si>
  <si>
    <t>Straight to Credits ("Yes" / "No")</t>
  </si>
  <si>
    <t>Amount</t>
  </si>
  <si>
    <t>Increase/Decrease</t>
  </si>
  <si>
    <t>% Change</t>
  </si>
  <si>
    <t>Warehouse to Credits ("Yes" / "No")</t>
  </si>
  <si>
    <t>Comes From Unit Mix Analysis</t>
  </si>
  <si>
    <t xml:space="preserve"> Free Rent /Rent Loss/Late Fees/Rent Concession</t>
  </si>
  <si>
    <t>Rent Loss Input</t>
  </si>
  <si>
    <t>Net Rent Revenue</t>
  </si>
  <si>
    <t>If no good historical info. is available, $5</t>
  </si>
  <si>
    <t xml:space="preserve">    pupm is a conservative estimate to use</t>
  </si>
  <si>
    <t>Adjust based on operating history</t>
  </si>
  <si>
    <t>GN rule of thumb</t>
  </si>
  <si>
    <t>GN rule of thumb for initial runs</t>
  </si>
  <si>
    <t>Management Fee (as a whole number)</t>
  </si>
  <si>
    <t xml:space="preserve"> Management Fee CAM</t>
  </si>
  <si>
    <t>Admin/MIS/Training/Educ</t>
  </si>
  <si>
    <t>Adjust as needed; can be a "catch all"</t>
  </si>
  <si>
    <t>Compliance Monitoring Fees (IF annual)</t>
  </si>
  <si>
    <t>S/B small savings from energy efficiency upgrades</t>
  </si>
  <si>
    <t>Add more if deal can support it, within reason.</t>
  </si>
  <si>
    <t>$8k is probably a min. amt.</t>
  </si>
  <si>
    <t>GN rule of thumb - Adj. down given the rehab</t>
  </si>
  <si>
    <t>Analyze historical; adjust based on SOW (are these being replaced?)</t>
  </si>
  <si>
    <t>Calculate to Right or Use Placeholder to Start</t>
  </si>
  <si>
    <t>Real Estate Tax Calculation (use this space to calc. RE Taxes based on county specific info.)</t>
  </si>
  <si>
    <t>Check w/Insurance Contacts</t>
  </si>
  <si>
    <t>Total operating expenses</t>
  </si>
  <si>
    <t>Units</t>
  </si>
  <si>
    <t>Baymeadows</t>
  </si>
  <si>
    <t>Covenant House</t>
  </si>
  <si>
    <t>Coventry</t>
  </si>
  <si>
    <t>Hale</t>
  </si>
  <si>
    <t>Liberty</t>
  </si>
  <si>
    <t>Lbview</t>
  </si>
  <si>
    <t>Plains Plaza</t>
  </si>
  <si>
    <t>Powell</t>
  </si>
  <si>
    <t>Roxford</t>
  </si>
  <si>
    <t>Sunbury</t>
  </si>
  <si>
    <t>Trail West</t>
  </si>
  <si>
    <t>Villas</t>
  </si>
  <si>
    <t>WL Gardens</t>
  </si>
  <si>
    <t>Cov Garden</t>
  </si>
  <si>
    <t>Minimum Acceptable Per Unit Controllable Expense</t>
  </si>
  <si>
    <t>(Excludes Utilities, RE Tax, Insurance)</t>
  </si>
  <si>
    <t>LIHTC DEBT ANALYSIS</t>
  </si>
  <si>
    <t>LIHTC DEBT AMORTIZATION SCHEDULE</t>
  </si>
  <si>
    <t>Maximum Loan Based on Loan to Value</t>
  </si>
  <si>
    <t>Maximum Loan - Loan To Cost (LTC)</t>
  </si>
  <si>
    <t>LTC Eligible Costs (Mortgeable Costs)</t>
  </si>
  <si>
    <t>Loan to Cost Limitation</t>
  </si>
  <si>
    <t>Maximum Loan Based on Loan to Cost</t>
  </si>
  <si>
    <t>Maximum Loan based on LTV</t>
  </si>
  <si>
    <t>Maximum Loan based on DSCR</t>
  </si>
  <si>
    <t>Maximum Loan based on LTC</t>
  </si>
  <si>
    <t>Overwrite Loan Amt. As Calculated Based on</t>
  </si>
  <si>
    <t xml:space="preserve">     Lender Feedback (Leave Blank if No Feedback)</t>
  </si>
  <si>
    <t>If Printing, Hide Some Rows With No Entries To Improve Formatting</t>
  </si>
  <si>
    <t>Mortgeable</t>
  </si>
  <si>
    <t>DEVELOPMENT COSTS</t>
  </si>
  <si>
    <t>State Specific Calculations To Avoid Circular References</t>
  </si>
  <si>
    <t>Cost</t>
  </si>
  <si>
    <t>Cost Per Unit</t>
  </si>
  <si>
    <t>Non-Eligible</t>
  </si>
  <si>
    <t>Historic Credits</t>
  </si>
  <si>
    <t>Acq Basis</t>
  </si>
  <si>
    <t>New/Rehab Basis</t>
  </si>
  <si>
    <t>Acquisition Cost</t>
  </si>
  <si>
    <t>Land</t>
  </si>
  <si>
    <t>Always double check Land and Building allocations when appraisal comes in</t>
  </si>
  <si>
    <t>Appraisal Value</t>
  </si>
  <si>
    <t>Buildings</t>
  </si>
  <si>
    <t>Building</t>
  </si>
  <si>
    <t>Broker Commission/Fee</t>
  </si>
  <si>
    <t>Total Acquisition Costs</t>
  </si>
  <si>
    <t>Construction Costs</t>
  </si>
  <si>
    <t>Hard Construction Costs</t>
  </si>
  <si>
    <t>Check State Specific Rehab or New Construction Cost Minimums/Maximums</t>
  </si>
  <si>
    <t>Site Work</t>
  </si>
  <si>
    <t>Appliances</t>
  </si>
  <si>
    <t>General Requirements</t>
  </si>
  <si>
    <t>Check State Specific Calculation; Change as Necessary</t>
  </si>
  <si>
    <t>Contractor Overhead</t>
  </si>
  <si>
    <t>Contractor Profit</t>
  </si>
  <si>
    <t>Contingency</t>
  </si>
  <si>
    <t>Builder's Risk Insurance</t>
  </si>
  <si>
    <t>Confirm w/G.C.</t>
  </si>
  <si>
    <t>P&amp;P Bond</t>
  </si>
  <si>
    <t>Commercial Costs</t>
  </si>
  <si>
    <t>Furniture, Fixtures &amp; Equip</t>
  </si>
  <si>
    <t>50</t>
  </si>
  <si>
    <t>Tap Fees / Impact Fees</t>
  </si>
  <si>
    <t>Confirm w/Municipality (can ask G.C. to do this)</t>
  </si>
  <si>
    <t>Building Permits</t>
  </si>
  <si>
    <t>Security During Construction</t>
  </si>
  <si>
    <t>Add if needed</t>
  </si>
  <si>
    <t>Other Construction Costs</t>
  </si>
  <si>
    <t>Total Construction Costs</t>
  </si>
  <si>
    <t>Check State Specific Limitations/Requirements for Development Costs</t>
  </si>
  <si>
    <t>DD/3rd Party Fees &amp; Costs</t>
  </si>
  <si>
    <t>Architect - Design &amp; Inspection</t>
  </si>
  <si>
    <t>Typically based off of total hard costs. Check QAP and check w/Architect</t>
  </si>
  <si>
    <t>Architect - Other</t>
  </si>
  <si>
    <t>Civil Engineering</t>
  </si>
  <si>
    <t>3rd Party Arch and Cost Review</t>
  </si>
  <si>
    <t>Lender hires 3rd party consultant to review plans and costs as a "check and balance"</t>
  </si>
  <si>
    <t>PCNA</t>
  </si>
  <si>
    <t>Can be lender or internally ordered</t>
  </si>
  <si>
    <t>Market Study</t>
  </si>
  <si>
    <t>We order this (Ex. Bowen)</t>
  </si>
  <si>
    <t>Rent Comp. Study</t>
  </si>
  <si>
    <t>We order this (Ex. Starmark Appraisals)</t>
  </si>
  <si>
    <t>Environmental (Phase I/II)</t>
  </si>
  <si>
    <t>Phase I will indicate whether a Phase II and/or other studies are needed</t>
  </si>
  <si>
    <t>Add'l Studies (Noise/Radon/Other)</t>
  </si>
  <si>
    <t>Environmental Mitigation</t>
  </si>
  <si>
    <t>Only if required by a bad Phase I</t>
  </si>
  <si>
    <t>Geotech/Soil Studies</t>
  </si>
  <si>
    <t>Cost Certification/Audit</t>
  </si>
  <si>
    <t>"Green" Audit/Consultant</t>
  </si>
  <si>
    <t>Energy Audit</t>
  </si>
  <si>
    <t>Historic Consultant</t>
  </si>
  <si>
    <t>Relocation</t>
  </si>
  <si>
    <t>Using $1,200/unit as a GN rule of thumb (confirm specific state allows this in basis).</t>
  </si>
  <si>
    <t>Soft Cost Contingency</t>
  </si>
  <si>
    <t>Check QAP for maximums/minimums and calculations; Include if state allows</t>
  </si>
  <si>
    <t>Other DD/Service Provider Fee/Cost</t>
  </si>
  <si>
    <t>Total DD/3rd Party Fees &amp; Costs</t>
  </si>
  <si>
    <t>Financing Costs</t>
  </si>
  <si>
    <t>D4 Construction Interest</t>
  </si>
  <si>
    <t>Construction Financing &amp; Interim Costs</t>
  </si>
  <si>
    <t>Mortgage</t>
  </si>
  <si>
    <t>Construction Loan/Bond Interest</t>
  </si>
  <si>
    <t>The split between basis and non-basis may need to be changed depending on state QAP</t>
  </si>
  <si>
    <t>Construction Period</t>
  </si>
  <si>
    <t>Construction Loan Origination</t>
  </si>
  <si>
    <t>Construction lender will dictate this</t>
  </si>
  <si>
    <t>Construction Lender - Legal</t>
  </si>
  <si>
    <t>Construction Interest</t>
  </si>
  <si>
    <t>Construction Lender - Reports/Inspections</t>
  </si>
  <si>
    <t>IF using a 221 D4 Loan, discuss w/team.  There are additional costs that  could</t>
  </si>
  <si>
    <t>Title &amp; Recording</t>
  </si>
  <si>
    <t>Check QAP, some states allow some/all Title &amp; Recording in Eligible Basis</t>
  </si>
  <si>
    <t>be added to the budget, inlcuding a Working Capital Reserve and Initial Operating</t>
  </si>
  <si>
    <t>Construction Period Taxes</t>
  </si>
  <si>
    <t>Deposit (IOD).</t>
  </si>
  <si>
    <t>Predevelopment Loan Fees</t>
  </si>
  <si>
    <t>D4 Fees Estimate</t>
  </si>
  <si>
    <t>Predevelopment Loan Interest</t>
  </si>
  <si>
    <t>FHA MIP</t>
  </si>
  <si>
    <t>FHA Exam Fee</t>
  </si>
  <si>
    <t>Permanent Financing</t>
  </si>
  <si>
    <t>FHA Inspection Fee</t>
  </si>
  <si>
    <t>Perm. Loan Application Fees</t>
  </si>
  <si>
    <t>Fees for the loan application; for HUD, it is .30%.  If a flat fee amount, input as necessary</t>
  </si>
  <si>
    <t>Perm. Loan Origination Fee</t>
  </si>
  <si>
    <t>Perm. lender will dictate this</t>
  </si>
  <si>
    <t>Placement Fee</t>
  </si>
  <si>
    <t>Permanent Lender - Legal</t>
  </si>
  <si>
    <t>Perm. Lender - Inspections</t>
  </si>
  <si>
    <t>These %s are estimates and will need to be</t>
  </si>
  <si>
    <t>Third Party Lender Review Fees</t>
  </si>
  <si>
    <t>Lender review of 3rd party documents - appraisal, RCS, Phase I, PCNA (ex. Greystone). This may end up being $0</t>
  </si>
  <si>
    <t>changed depending on the lender.</t>
  </si>
  <si>
    <t>Includes Owner's Title Policy (see First American website (link on Input Tab) for Owner's Title estimate</t>
  </si>
  <si>
    <t>Transfer Taxes</t>
  </si>
  <si>
    <t>Look up the county conveyance fee</t>
  </si>
  <si>
    <t>FHA Financing Fees (D4/223(f))</t>
  </si>
  <si>
    <t>Only input amount if using a D4 Loan from HUD</t>
  </si>
  <si>
    <t>HUD Inspection Fee</t>
  </si>
  <si>
    <t>On HUD loans, HUD will come inspect the property</t>
  </si>
  <si>
    <t>Bond Issuance Cost</t>
  </si>
  <si>
    <t>Bond Counsel - Legal</t>
  </si>
  <si>
    <t>Only for 4% LIHTC deal. (Ex. Sturges)</t>
  </si>
  <si>
    <t>Other Perm. Financing Costs</t>
  </si>
  <si>
    <t>Total Financing Costs</t>
  </si>
  <si>
    <t>Other Project Costs</t>
  </si>
  <si>
    <t xml:space="preserve">Tax Credit Entity - "TC WG HH OH" Saad </t>
  </si>
  <si>
    <t>Regulatory Legal</t>
  </si>
  <si>
    <t>Nixon Peabody</t>
  </si>
  <si>
    <t>Local Legal</t>
  </si>
  <si>
    <t>PILOT / TIF / Zoning / Other</t>
  </si>
  <si>
    <t>Other Legal</t>
  </si>
  <si>
    <t>Organization Costs</t>
  </si>
  <si>
    <t>Syndicator Reimbursement</t>
  </si>
  <si>
    <t xml:space="preserve">GP Loan </t>
  </si>
  <si>
    <t xml:space="preserve">Owner's Contingency </t>
  </si>
  <si>
    <t>Check QAP for Maximum Contingency Amounts (incl. Hard Cost &amp; Soft Cost).  "Owner Contingency" will likely need to be lumped in to one of the allowable options.</t>
  </si>
  <si>
    <t>Additional Closing Costs</t>
  </si>
  <si>
    <t>GN Closing Fee</t>
  </si>
  <si>
    <t>3rd Party Compliance (Initial TICs)</t>
  </si>
  <si>
    <t>GN Rule of Thumb</t>
  </si>
  <si>
    <t>Depending on the cost, need to allocate appropriately between eligible and non-eligible basis</t>
  </si>
  <si>
    <t>Total Other Costs</t>
  </si>
  <si>
    <t>Tax Credit Agency Fees</t>
  </si>
  <si>
    <t>LIHTC Application Fee</t>
  </si>
  <si>
    <t>Check QAP</t>
  </si>
  <si>
    <t>LIHTC Reservation Fee</t>
  </si>
  <si>
    <t>LIHTC Commitment Fee</t>
  </si>
  <si>
    <t>Compliance Monitoring Fee</t>
  </si>
  <si>
    <t>Check QAP - This is sometimes an annual expense item rather than a development cost item.</t>
  </si>
  <si>
    <t>Other State Agency Fees</t>
  </si>
  <si>
    <t>Soft Source Funding Fees</t>
  </si>
  <si>
    <t>Include application fees or other costs for soft sources of funds.</t>
  </si>
  <si>
    <t>Total Tax Credit Agency Fees</t>
  </si>
  <si>
    <t>Capitalized Costs - 12 Mos.</t>
  </si>
  <si>
    <t>Constr. Period Interest</t>
  </si>
  <si>
    <t>Including these capitalized costs in our development costs to increase basis during construction</t>
  </si>
  <si>
    <t>Negative Arbitrage</t>
  </si>
  <si>
    <t>Taxes</t>
  </si>
  <si>
    <t>Insurance</t>
  </si>
  <si>
    <t>Investor Asset Mgmt. Fees</t>
  </si>
  <si>
    <t>Support Services Costs</t>
  </si>
  <si>
    <t>Total Capitalizable Costs</t>
  </si>
  <si>
    <t>Reserves</t>
  </si>
  <si>
    <t>Operating Deficit Reserve</t>
  </si>
  <si>
    <t>Debt Reserves</t>
  </si>
  <si>
    <t>Only use if there is a shortage in operating funds; should not typically be needed; program calc. as necessary</t>
  </si>
  <si>
    <t>Capitalized Replacement Reserve</t>
  </si>
  <si>
    <t>May be required to ensure property has sufficient funds for capital needs. Check HFA / PCNA for min/max.; adjust calculation as necessary</t>
  </si>
  <si>
    <t>Other Reserves</t>
  </si>
  <si>
    <t>Total Reserves and Other Costs</t>
  </si>
  <si>
    <t>SUBTOTAL:</t>
  </si>
  <si>
    <t>Developer Fee</t>
  </si>
  <si>
    <t>Program based on State Specific Rules, See QAP; states may or may not allow separate fee for Acquisition basis.</t>
  </si>
  <si>
    <t>Total Developer Fee</t>
  </si>
  <si>
    <t>Historic Tax Credit State %</t>
  </si>
  <si>
    <t>Leave blank if not Historic Credit deal</t>
  </si>
  <si>
    <t>Historic Tax Credit Federal %</t>
  </si>
  <si>
    <t>If State LIHTC and/or Historic Credits apply, change the print area appropriately.</t>
  </si>
  <si>
    <t>[QCT Map Screenshot]
If Site Is In a QCT or DDA, Insert a Screenshot of Map</t>
  </si>
  <si>
    <t>TAX CREDIT CALCULATION</t>
  </si>
  <si>
    <t>Acquisition</t>
  </si>
  <si>
    <t>Rehab</t>
  </si>
  <si>
    <t>Addit. Equity -  $.01 Pricing Increase</t>
  </si>
  <si>
    <t>Total Eligible Basis</t>
  </si>
  <si>
    <t>Current Equity Amount</t>
  </si>
  <si>
    <t>DDA/QCT Bonus</t>
  </si>
  <si>
    <t>Equity Gain With Added $.01 Pricing</t>
  </si>
  <si>
    <t>https://www.huduser.gov/portal/sadda/sadda_qct.html</t>
  </si>
  <si>
    <t>QCT Website</t>
  </si>
  <si>
    <t>Basis Reduction</t>
  </si>
  <si>
    <t xml:space="preserve">Application Fraction </t>
  </si>
  <si>
    <t>Assuming a "Master Lease" Structure (Historic deals only)</t>
  </si>
  <si>
    <t xml:space="preserve">Qualified Basis </t>
  </si>
  <si>
    <t>Calculated Annual Credits Based on Current Basis</t>
  </si>
  <si>
    <t>% to Limited Partner</t>
  </si>
  <si>
    <t>Credits Awarded or Credit Amt. Set Based on Final Application</t>
  </si>
  <si>
    <t>Tax Credit Rate</t>
  </si>
  <si>
    <t>Insert Reserved Credit Amt. or Amt. That Will No Longer Change</t>
  </si>
  <si>
    <t>Annual Tax Credits</t>
  </si>
  <si>
    <t xml:space="preserve">Years </t>
  </si>
  <si>
    <t>"Gap" Calculation</t>
  </si>
  <si>
    <t>Total Fed Tax Credit</t>
  </si>
  <si>
    <t>Price</t>
  </si>
  <si>
    <t>Less:  Perm. Sources</t>
  </si>
  <si>
    <t>Equity Factor</t>
  </si>
  <si>
    <t xml:space="preserve">Federal LIHTC Equity </t>
  </si>
  <si>
    <t>Divided by 10</t>
  </si>
  <si>
    <t>State Tax Credit Calculation</t>
  </si>
  <si>
    <t>Is state tax credit applicable?</t>
  </si>
  <si>
    <t>If "yes," confirm calculation and change programming as necessary.</t>
  </si>
  <si>
    <t>Total State Tax Credits</t>
  </si>
  <si>
    <t>State Tax Credit Pricing</t>
  </si>
  <si>
    <t>State Tax Credit Equity</t>
  </si>
  <si>
    <t>Historic Tax Credit Calculation</t>
  </si>
  <si>
    <t>Are federal historic credits applicable?</t>
  </si>
  <si>
    <t>Federal</t>
  </si>
  <si>
    <t>State</t>
  </si>
  <si>
    <t>Totals</t>
  </si>
  <si>
    <t>Are state historic credits applicable?</t>
  </si>
  <si>
    <t>Total Qualified Rehabilitation Costs</t>
  </si>
  <si>
    <t>If "yes," check w/syndicator and change pricing accordingly for both federal and state.</t>
  </si>
  <si>
    <t>Historic Tax Credit Percentages</t>
  </si>
  <si>
    <t>If "yes," for state historic, change the state historic credit percentage as needed per state program.</t>
  </si>
  <si>
    <t>Tax Credits</t>
  </si>
  <si>
    <t>Ownership Percentage</t>
  </si>
  <si>
    <t>Pricing</t>
  </si>
  <si>
    <t>Historic Tax Credit Equity</t>
  </si>
  <si>
    <t>PROJECTED QUALIFIED SCHEDULE</t>
  </si>
  <si>
    <t>PROJECTED TAX CREDITS</t>
  </si>
  <si>
    <t>Cumulative</t>
  </si>
  <si>
    <t>Year</t>
  </si>
  <si>
    <t>Credits</t>
  </si>
  <si>
    <t>Month</t>
  </si>
  <si>
    <t>If printing, hide columns that are outside the construction period.  Also, hide rows with zero values.</t>
  </si>
  <si>
    <t>CONSTRUCTION DRAWDOWN SCHEDULE</t>
  </si>
  <si>
    <t>Construction Draws</t>
  </si>
  <si>
    <t>Monthly %</t>
  </si>
  <si>
    <t>Cumulative %</t>
  </si>
  <si>
    <t>Const. Duration</t>
  </si>
  <si>
    <t>Pay-In 1</t>
  </si>
  <si>
    <t>Pay-In 2</t>
  </si>
  <si>
    <t>Pay-In 3</t>
  </si>
  <si>
    <t>Pay-In 4</t>
  </si>
  <si>
    <t>Construction Loan/Bond Sizing</t>
  </si>
  <si>
    <t>Initial</t>
  </si>
  <si>
    <t>Cert. of</t>
  </si>
  <si>
    <t>Perm. Debt</t>
  </si>
  <si>
    <t>Close</t>
  </si>
  <si>
    <t>Occup.</t>
  </si>
  <si>
    <t>Conversion</t>
  </si>
  <si>
    <t>Total Development Costs</t>
  </si>
  <si>
    <t>Fed LIHTC Pay-In Percentages</t>
  </si>
  <si>
    <t>Developer Fee Post Const.</t>
  </si>
  <si>
    <t>Operating Reserve</t>
  </si>
  <si>
    <t>Permanent Debt</t>
  </si>
  <si>
    <t>Replacement Reserve</t>
  </si>
  <si>
    <t>Other Post Const. Reserves/Costs</t>
  </si>
  <si>
    <t>Total Construction Uses</t>
  </si>
  <si>
    <t>Equity During Const.</t>
  </si>
  <si>
    <t>Adjust if state LIHTC equity and/or Historic Equity is applicable.</t>
  </si>
  <si>
    <t>Other Const. Period Loans</t>
  </si>
  <si>
    <t>Total Construction Loan</t>
  </si>
  <si>
    <t>&lt;-----Potential bonds needed to support construction</t>
  </si>
  <si>
    <t>Income During Construction</t>
  </si>
  <si>
    <t>Construction Loan/Bond Rate</t>
  </si>
  <si>
    <t>Loan/Bonds Outstanding (mos.)</t>
  </si>
  <si>
    <t>Construction/Equity Bridge</t>
  </si>
  <si>
    <t>100% Outstanding</t>
  </si>
  <si>
    <t>Average Outstanding</t>
  </si>
  <si>
    <t>Estimated Construction Interest</t>
  </si>
  <si>
    <t>Bonds</t>
  </si>
  <si>
    <t>Outstanding</t>
  </si>
  <si>
    <t>12 Months of Interest</t>
  </si>
  <si>
    <t>Developer Fee - Acquisition</t>
  </si>
  <si>
    <t>Developer Fee - Development</t>
  </si>
  <si>
    <t>Construction Loan Repayment</t>
  </si>
  <si>
    <t>Beginning Total Uses</t>
  </si>
  <si>
    <t>Difference</t>
  </si>
  <si>
    <t>Construction Loan</t>
  </si>
  <si>
    <t>Monthly Draws</t>
  </si>
  <si>
    <t>Cumulative Draws</t>
  </si>
  <si>
    <t>Const. Loan Payback</t>
  </si>
  <si>
    <t>Const. Loan Outstanding</t>
  </si>
  <si>
    <t>Construction Loan Interest</t>
  </si>
  <si>
    <t>Units Placed in Service</t>
  </si>
  <si>
    <t>Percentage of Units PIS</t>
  </si>
  <si>
    <t>Capitalized Interest</t>
  </si>
  <si>
    <t>Expensed Interest</t>
  </si>
  <si>
    <t>Retainage</t>
  </si>
  <si>
    <t>CONSTRUCTION TIMING - LEASE UP - LIHTC DELIVERY</t>
  </si>
  <si>
    <t>Current Year</t>
  </si>
  <si>
    <t>Number of Buildings</t>
  </si>
  <si>
    <t>1st Stab. Yr.</t>
  </si>
  <si>
    <t>Construction Start</t>
  </si>
  <si>
    <t>Lease-Up Start</t>
  </si>
  <si>
    <t>Total Unit Count</t>
  </si>
  <si>
    <t>Construction End</t>
  </si>
  <si>
    <t>Lease-Up End</t>
  </si>
  <si>
    <t>Total LIHTC Only Units (no PBRA)</t>
  </si>
  <si>
    <t>Construction Duration (months)</t>
  </si>
  <si>
    <t>Lease-Up Duration (months)</t>
  </si>
  <si>
    <t>90/90 Reached</t>
  </si>
  <si>
    <t>LI Rent</t>
  </si>
  <si>
    <t>Mkt. Rent</t>
  </si>
  <si>
    <t>Other Income</t>
  </si>
  <si>
    <t>Oper. Exp.</t>
  </si>
  <si>
    <t>Repl. Res.</t>
  </si>
  <si>
    <t xml:space="preserve">What </t>
  </si>
  <si>
    <t>Percent</t>
  </si>
  <si>
    <t xml:space="preserve">Market </t>
  </si>
  <si>
    <t>Credit</t>
  </si>
  <si>
    <t>Monthly</t>
  </si>
  <si>
    <t>Low Income</t>
  </si>
  <si>
    <t>Market Units</t>
  </si>
  <si>
    <t>Credit Units</t>
  </si>
  <si>
    <t xml:space="preserve">Qualified </t>
  </si>
  <si>
    <t>LIHTC Rent</t>
  </si>
  <si>
    <t>Market Rent</t>
  </si>
  <si>
    <t>Commercial Income</t>
  </si>
  <si>
    <t>Repl. Reserve</t>
  </si>
  <si>
    <t>Oper. Reserve</t>
  </si>
  <si>
    <t>Delivered</t>
  </si>
  <si>
    <t>PIS</t>
  </si>
  <si>
    <t>Rented</t>
  </si>
  <si>
    <t>Occupied</t>
  </si>
  <si>
    <t/>
  </si>
  <si>
    <t>CREDIT DELIVERY WORKSHEET</t>
  </si>
  <si>
    <t>Credits Begin</t>
  </si>
  <si>
    <t>Reservation</t>
  </si>
  <si>
    <t>*10</t>
  </si>
  <si>
    <t>IF annual compliance fees do not inflate, change programming in row.</t>
  </si>
  <si>
    <t>Hard Debt Service</t>
  </si>
  <si>
    <t>1st Mortgage</t>
  </si>
  <si>
    <t>A 2nd Hard Debt Service Calc. has been input in the hidden cells.  Depending</t>
  </si>
  <si>
    <t xml:space="preserve">on the requirements of the 2nd Hard Debt Source, the calculation may need </t>
  </si>
  <si>
    <t>Total Payable</t>
  </si>
  <si>
    <t>to be manipulated.</t>
  </si>
  <si>
    <t>2nd Mortgage</t>
  </si>
  <si>
    <t>years</t>
  </si>
  <si>
    <t>A Debt Service Calc. for a Seller Note has been input in the 2nd set of hidden cells.</t>
  </si>
  <si>
    <t xml:space="preserve">Depending on the requirements of the Seller Note, the calculation may need </t>
  </si>
  <si>
    <t>Cash Flow After Hard Debt Service</t>
  </si>
  <si>
    <t>Cash Flow After Seller Note</t>
  </si>
  <si>
    <t>Deferred Developer Fee Interest Rate</t>
  </si>
  <si>
    <t>Deferred Developer Fee Pay Down</t>
  </si>
  <si>
    <t>Outstanding Deferred Dev Fee</t>
  </si>
  <si>
    <t>GP / LP Cash Flow</t>
  </si>
  <si>
    <t xml:space="preserve">GP </t>
  </si>
  <si>
    <t>Real Estate Tax Analysis</t>
  </si>
  <si>
    <t>R/E Tax Rate Calc</t>
  </si>
  <si>
    <t>Bridge Purchase Price</t>
  </si>
  <si>
    <t>Assessment %</t>
  </si>
  <si>
    <t>Current Assessed Value</t>
  </si>
  <si>
    <t>Current R/E Tax</t>
  </si>
  <si>
    <t>Calculated tax rate</t>
  </si>
  <si>
    <t>Projected</t>
  </si>
  <si>
    <t>Tax Credit Purchase</t>
  </si>
  <si>
    <t>Less FF/E</t>
  </si>
  <si>
    <t>Less assumed reserves</t>
  </si>
  <si>
    <t>Revised Appraised Value</t>
  </si>
  <si>
    <t>x assement rate</t>
  </si>
  <si>
    <t>x local tax rate</t>
  </si>
  <si>
    <t>Calculated Tax Rate</t>
  </si>
  <si>
    <t>Controllable Expenses</t>
  </si>
  <si>
    <t>John Snee</t>
  </si>
  <si>
    <t>Tyler Apartments</t>
  </si>
  <si>
    <t>Pg 19 of QAP</t>
  </si>
  <si>
    <t>ADDRESS</t>
  </si>
  <si>
    <t>ASSET VALUATION SUMMARY</t>
  </si>
  <si>
    <t>Year Built</t>
  </si>
  <si>
    <t>Occupancy</t>
  </si>
  <si>
    <t>Price Per SQFT:</t>
  </si>
  <si>
    <t>Price Per Unit:</t>
  </si>
  <si>
    <t>Investment Highlights</t>
  </si>
  <si>
    <t>Risks</t>
  </si>
  <si>
    <t>High Value</t>
  </si>
  <si>
    <t>Low Value</t>
  </si>
  <si>
    <t xml:space="preserve">7 Trivette Concourse, Johnson City, TN </t>
  </si>
  <si>
    <t>Sale Price</t>
  </si>
  <si>
    <t>-</t>
  </si>
  <si>
    <t>SF</t>
  </si>
  <si>
    <t>Proximity to subject</t>
  </si>
  <si>
    <t>Amenities Included</t>
  </si>
  <si>
    <t>Unit Square Footage</t>
  </si>
  <si>
    <t>Close of Escrow:</t>
  </si>
  <si>
    <t xml:space="preserve">HAP Contract </t>
  </si>
  <si>
    <t>Company Type</t>
  </si>
  <si>
    <t>Limited Dividend</t>
  </si>
  <si>
    <t>HAP Coverage</t>
  </si>
  <si>
    <t xml:space="preserve">No. of Buildings: </t>
  </si>
  <si>
    <t>Acreage</t>
  </si>
  <si>
    <t xml:space="preserve">HAP Contract #: </t>
  </si>
  <si>
    <t xml:space="preserve">Year Built </t>
  </si>
  <si>
    <t xml:space="preserve">Price Per Unit </t>
  </si>
  <si>
    <t>Subsidy</t>
  </si>
  <si>
    <t>Closing Type</t>
  </si>
  <si>
    <t>Flint Garden</t>
  </si>
  <si>
    <t>424 Line St Chattahoochee, FL 32324</t>
  </si>
  <si>
    <t>Section 8</t>
  </si>
  <si>
    <t>4% LIHTC</t>
  </si>
  <si>
    <t>7 Cypress Ct Selma, NC 27576</t>
  </si>
  <si>
    <t>Villa North Apartments</t>
  </si>
  <si>
    <t>510 Old Albany Rd Thomasville, GA 31792</t>
  </si>
  <si>
    <t>Ocala Place Apartments</t>
  </si>
  <si>
    <t>2135 NW 1st Ave Ocala, FL 34475</t>
  </si>
  <si>
    <t>Lizzie Mill Station (fka Redwood Village)</t>
  </si>
  <si>
    <t>Closing Date</t>
  </si>
  <si>
    <t>Pro Forma I</t>
  </si>
  <si>
    <t>Current Rent</t>
  </si>
  <si>
    <t>Total Monthly</t>
  </si>
  <si>
    <t>Rate</t>
  </si>
  <si>
    <t>Rent P/SF</t>
  </si>
  <si>
    <t>Average:</t>
  </si>
  <si>
    <t>Square Footage</t>
  </si>
  <si>
    <t>Pro Forma II (Post Rehab)</t>
  </si>
  <si>
    <t>pg. 20 of QAP</t>
  </si>
  <si>
    <t>*High Value assumed in Yield Analysis</t>
  </si>
  <si>
    <t>Yield Analysis*</t>
  </si>
  <si>
    <t>*Uncofirmed, CoStar estimate.</t>
  </si>
  <si>
    <t>Tenancy</t>
  </si>
  <si>
    <t>Cash on Cash 5 Yr Average</t>
  </si>
  <si>
    <t>Price Per Unit</t>
  </si>
  <si>
    <t>PERM 15-YEAR CASH FLOW</t>
  </si>
  <si>
    <t>1 Mile</t>
  </si>
  <si>
    <t>3 Mile</t>
  </si>
  <si>
    <t>5 Mile</t>
  </si>
  <si>
    <t>2010 Population</t>
  </si>
  <si>
    <t>2010 Households</t>
  </si>
  <si>
    <t>2022 Population</t>
  </si>
  <si>
    <t>2027 Population</t>
  </si>
  <si>
    <t>2022 Households</t>
  </si>
  <si>
    <t>2027 Households</t>
  </si>
  <si>
    <t>2022 Average HH Income</t>
  </si>
  <si>
    <t>2022 Median HH Income</t>
  </si>
  <si>
    <t>2022 Per Capita Income</t>
  </si>
  <si>
    <t>Households</t>
  </si>
  <si>
    <t>Management Fee (4.50%)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</si>
</sst>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  <numFmt numFmtId="167" formatCode="General_)"/>
    <numFmt numFmtId="168" formatCode="0_)"/>
    <numFmt numFmtId="169" formatCode="_(* #,##0_);_(* \(#,##0\);_(* &quot;-&quot;?_);_(@_)"/>
    <numFmt numFmtId="170" formatCode="0.000%"/>
    <numFmt numFmtId="171" formatCode="&quot;Year&quot;\ 0"/>
    <numFmt numFmtId="172" formatCode="0.00&quot;X&quot;"/>
    <numFmt numFmtId="173" formatCode="0.00_);\(0.00\)"/>
    <numFmt numFmtId="174" formatCode="&quot;$&quot;#,##0"/>
    <numFmt numFmtId="175" formatCode="#,###_);\(#,###\);;"/>
    <numFmt numFmtId="176" formatCode="&quot;$&quot;#,###_);\(&quot;$&quot;#,###\);;"/>
    <numFmt numFmtId="177" formatCode="0%_);\(0%\);;"/>
    <numFmt numFmtId="178" formatCode="0%_);\(0%\)"/>
    <numFmt numFmtId="179" formatCode="0.00%_);\(0.00%\)"/>
    <numFmt numFmtId="180" formatCode="[$-409]mmm\-yy;@"/>
    <numFmt numFmtId="181" formatCode="m/d/yy;@"/>
    <numFmt numFmtId="182" formatCode="mm/yyyy"/>
    <numFmt numFmtId="183" formatCode="_(* #,##0.0_);_(* \(#,##0.0\);_(* &quot;-&quot;??_);_(@_)"/>
    <numFmt numFmtId="184" formatCode="#,##0.0000"/>
    <numFmt numFmtId="185" formatCode="0.0000%"/>
    <numFmt numFmtId="186" formatCode="mm/dd/yy;@"/>
    <numFmt numFmtId="187" formatCode="[$-409]mmmm\-yy;@"/>
    <numFmt numFmtId="188" formatCode="&quot;$&quot;#,##0.00"/>
  </numFmts>
  <fonts count="1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6"/>
      <color theme="0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1C5E5E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156B36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3"/>
      <color rgb="FF1C5E5E"/>
      <name val="Times New Roman"/>
      <family val="1"/>
    </font>
    <font>
      <b/>
      <u/>
      <sz val="12"/>
      <color theme="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12"/>
      <name val="Geneva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  <font>
      <sz val="26"/>
      <color theme="1"/>
      <name val="Times New Roman"/>
      <family val="1"/>
    </font>
    <font>
      <u val="singleAccounting"/>
      <sz val="12"/>
      <name val="Times New Roman"/>
      <family val="1"/>
    </font>
    <font>
      <b/>
      <sz val="16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12"/>
      <name val="Calibri"/>
      <family val="2"/>
      <scheme val="minor"/>
    </font>
    <font>
      <b/>
      <u val="singleAccounting"/>
      <sz val="12"/>
      <name val="Times New Roman"/>
      <family val="1"/>
    </font>
    <font>
      <i/>
      <sz val="11"/>
      <name val="Times New Roman"/>
      <family val="1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Times New Roman"/>
      <family val="1"/>
    </font>
    <font>
      <u val="doubleAccounting"/>
      <sz val="12"/>
      <name val="Times New Roman"/>
      <family val="1"/>
    </font>
    <font>
      <sz val="12"/>
      <color indexed="12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55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2"/>
      <name val="Times New Roman"/>
      <family val="1"/>
    </font>
    <font>
      <u/>
      <sz val="12"/>
      <name val="Times New Roman"/>
      <family val="1"/>
    </font>
    <font>
      <b/>
      <i/>
      <u/>
      <sz val="12"/>
      <name val="Times New Roman"/>
      <family val="1"/>
    </font>
    <font>
      <i/>
      <sz val="9"/>
      <color theme="1"/>
      <name val="Calibri"/>
      <family val="2"/>
      <scheme val="minor"/>
    </font>
    <font>
      <u/>
      <sz val="12"/>
      <color theme="1"/>
      <name val="Times New Roman"/>
      <family val="1"/>
    </font>
    <font>
      <sz val="10"/>
      <color theme="1"/>
      <name val="Times New Roman"/>
      <family val="2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i/>
      <u/>
      <sz val="12"/>
      <color theme="0"/>
      <name val="Times New Roman"/>
      <family val="1"/>
    </font>
    <font>
      <i/>
      <sz val="10"/>
      <color theme="0"/>
      <name val="Times New Roman"/>
      <family val="1"/>
    </font>
    <font>
      <sz val="10"/>
      <color theme="0"/>
      <name val="Arial"/>
      <family val="2"/>
    </font>
    <font>
      <sz val="12"/>
      <color rgb="FF0033CC"/>
      <name val="Times New Roman"/>
      <family val="1"/>
    </font>
    <font>
      <i/>
      <sz val="12"/>
      <color theme="0" tint="-0.499984740745262"/>
      <name val="Times New Roman"/>
      <family val="1"/>
    </font>
    <font>
      <u val="singleAccounting"/>
      <sz val="10"/>
      <name val="Arial"/>
      <family val="2"/>
    </font>
    <font>
      <i/>
      <sz val="10"/>
      <name val="Arial"/>
      <family val="2"/>
    </font>
    <font>
      <sz val="12"/>
      <color theme="0"/>
      <name val="Arial"/>
      <family val="2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rgb="FF008080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4"/>
      <color rgb="FF11817E"/>
      <name val="Times New Roman"/>
      <family val="1"/>
    </font>
    <font>
      <b/>
      <sz val="14"/>
      <color theme="0"/>
      <name val="Times New Roman"/>
      <family val="1"/>
    </font>
    <font>
      <u/>
      <sz val="12"/>
      <color indexed="12"/>
      <name val="Arial"/>
      <family val="2"/>
    </font>
    <font>
      <u/>
      <sz val="12"/>
      <color indexed="12"/>
      <name val="Times New Roman"/>
      <family val="1"/>
    </font>
    <font>
      <sz val="12"/>
      <color rgb="FF0000FF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Times New Roman"/>
      <family val="1"/>
    </font>
    <font>
      <sz val="8"/>
      <color theme="0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11"/>
      <color indexed="12"/>
      <name val="Times New Roman"/>
      <family val="1"/>
    </font>
    <font>
      <u val="singleAccounting"/>
      <sz val="11"/>
      <name val="Times New Roman"/>
      <family val="1"/>
    </font>
    <font>
      <u val="doubleAccounting"/>
      <sz val="11"/>
      <name val="Times New Roman"/>
      <family val="1"/>
    </font>
    <font>
      <b/>
      <sz val="11"/>
      <color rgb="FF008080"/>
      <name val="Times New Roman"/>
      <family val="1"/>
    </font>
    <font>
      <sz val="11"/>
      <color theme="0"/>
      <name val="Times New Roman"/>
      <family val="1"/>
    </font>
    <font>
      <u/>
      <sz val="11"/>
      <name val="Times New Roman"/>
      <family val="1"/>
    </font>
    <font>
      <b/>
      <sz val="12"/>
      <color theme="0"/>
      <name val="Times New Roman"/>
      <family val="1"/>
    </font>
    <font>
      <b/>
      <sz val="14"/>
      <color rgb="FF002060"/>
      <name val="Times New Roman"/>
      <family val="1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color theme="0"/>
      <name val="Times New Roman"/>
      <family val="1"/>
    </font>
    <font>
      <b/>
      <sz val="11"/>
      <color rgb="FFFA7D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38B6A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3"/>
      </patternFill>
    </fill>
    <fill>
      <patternFill patternType="solid">
        <fgColor indexed="42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2F2F2"/>
      </patternFill>
    </fill>
    <fill>
      <patternFill patternType="solid">
        <fgColor theme="0" tint="-0.34998626667073579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auto="1"/>
      </left>
      <right/>
      <top style="medium">
        <color indexed="64"/>
      </top>
      <bottom/>
      <diagonal/>
    </border>
    <border>
      <left/>
      <right style="dashed">
        <color auto="1"/>
      </right>
      <top style="medium">
        <color indexed="64"/>
      </top>
      <bottom/>
      <diagonal/>
    </border>
    <border>
      <left style="dashed">
        <color auto="1"/>
      </left>
      <right/>
      <top/>
      <bottom style="thin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medium">
        <color indexed="64"/>
      </bottom>
      <diagonal/>
    </border>
    <border>
      <left/>
      <right style="dashed">
        <color auto="1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dashed">
        <color auto="1"/>
      </left>
      <right/>
      <top style="thin">
        <color indexed="64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</borders>
  <cellStyleXfs count="56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38" fontId="23" fillId="0" borderId="0" applyFont="0" applyAlignment="0" applyProtection="0">
      <alignment horizontal="right"/>
      <protection locked="0"/>
    </xf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1" fillId="0" borderId="0"/>
    <xf numFmtId="175" fontId="52" fillId="0" borderId="0" applyFont="0" applyFill="0" applyBorder="0" applyProtection="0">
      <alignment vertical="center"/>
    </xf>
    <xf numFmtId="37" fontId="3" fillId="0" borderId="0" applyFont="0" applyFill="0" applyBorder="0" applyAlignment="0" applyProtection="0">
      <alignment vertical="center"/>
    </xf>
    <xf numFmtId="3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5" fontId="3" fillId="0" borderId="0" applyFont="0" applyFill="0" applyBorder="0" applyAlignment="0" applyProtection="0">
      <alignment vertical="center"/>
    </xf>
    <xf numFmtId="7" fontId="3" fillId="0" borderId="0" applyFont="0" applyFill="0" applyBorder="0" applyAlignment="0" applyProtection="0">
      <alignment vertical="center"/>
    </xf>
    <xf numFmtId="0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3" borderId="0" applyNumberFormat="0" applyBorder="0" applyAlignment="0" applyProtection="0"/>
    <xf numFmtId="0" fontId="53" fillId="16" borderId="0" applyNumberFormat="0" applyBorder="0" applyAlignment="0" applyProtection="0"/>
    <xf numFmtId="0" fontId="53" fillId="15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7" borderId="0" applyNumberFormat="0" applyBorder="0" applyAlignment="0" applyProtection="0"/>
    <xf numFmtId="0" fontId="53" fillId="13" borderId="0" applyNumberFormat="0" applyBorder="0" applyAlignment="0" applyProtection="0"/>
    <xf numFmtId="0" fontId="53" fillId="18" borderId="0" applyNumberFormat="0" applyBorder="0" applyAlignment="0" applyProtection="0"/>
    <xf numFmtId="0" fontId="53" fillId="17" borderId="0" applyNumberFormat="0" applyBorder="0" applyAlignment="0" applyProtection="0"/>
    <xf numFmtId="0" fontId="54" fillId="19" borderId="0" applyNumberFormat="0" applyBorder="0" applyAlignment="0" applyProtection="0"/>
    <xf numFmtId="0" fontId="54" fillId="14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54" fillId="19" borderId="0" applyNumberFormat="0" applyBorder="0" applyAlignment="0" applyProtection="0"/>
    <xf numFmtId="0" fontId="54" fillId="14" borderId="0" applyNumberFormat="0" applyBorder="0" applyAlignment="0" applyProtection="0"/>
    <xf numFmtId="0" fontId="54" fillId="19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19" borderId="0" applyNumberFormat="0" applyBorder="0" applyAlignment="0" applyProtection="0"/>
    <xf numFmtId="0" fontId="54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6" borderId="52" applyNumberFormat="0" applyAlignment="0" applyProtection="0"/>
    <xf numFmtId="0" fontId="57" fillId="20" borderId="53" applyNumberFormat="0" applyAlignment="0" applyProtection="0"/>
    <xf numFmtId="174" fontId="5" fillId="0" borderId="1"/>
    <xf numFmtId="0" fontId="58" fillId="0" borderId="0" applyNumberFormat="0" applyFill="0" applyBorder="0" applyAlignment="0" applyProtection="0"/>
    <xf numFmtId="174" fontId="3" fillId="0" borderId="0" applyBorder="0"/>
    <xf numFmtId="0" fontId="59" fillId="27" borderId="0" applyNumberFormat="0" applyBorder="0" applyAlignment="0" applyProtection="0"/>
    <xf numFmtId="0" fontId="60" fillId="0" borderId="54" applyNumberFormat="0" applyFill="0" applyAlignment="0" applyProtection="0"/>
    <xf numFmtId="0" fontId="61" fillId="0" borderId="54" applyNumberFormat="0" applyFill="0" applyAlignment="0" applyProtection="0"/>
    <xf numFmtId="0" fontId="62" fillId="0" borderId="55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56">
      <alignment vertical="center"/>
    </xf>
    <xf numFmtId="0" fontId="64" fillId="17" borderId="52" applyNumberFormat="0" applyAlignment="0" applyProtection="0"/>
    <xf numFmtId="0" fontId="65" fillId="0" borderId="57" applyNumberFormat="0" applyFill="0" applyAlignment="0" applyProtection="0"/>
    <xf numFmtId="38" fontId="46" fillId="0" borderId="0"/>
    <xf numFmtId="0" fontId="66" fillId="17" borderId="0" applyNumberFormat="0" applyBorder="0" applyAlignment="0" applyProtection="0"/>
    <xf numFmtId="0" fontId="5" fillId="15" borderId="52" applyNumberFormat="0" applyFont="0" applyAlignment="0" applyProtection="0"/>
    <xf numFmtId="0" fontId="67" fillId="26" borderId="58" applyNumberFormat="0" applyAlignment="0" applyProtection="0"/>
    <xf numFmtId="0" fontId="68" fillId="0" borderId="0" applyNumberFormat="0" applyFill="0" applyBorder="0" applyAlignment="0" applyProtection="0"/>
    <xf numFmtId="0" fontId="69" fillId="0" borderId="59" applyNumberFormat="0" applyFill="0" applyAlignment="0" applyProtection="0"/>
    <xf numFmtId="0" fontId="7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/>
    <xf numFmtId="37" fontId="3" fillId="0" borderId="0"/>
    <xf numFmtId="0" fontId="97" fillId="0" borderId="0" applyNumberFormat="0" applyFill="0" applyBorder="0">
      <alignment horizontal="left" vertical="center"/>
    </xf>
    <xf numFmtId="0" fontId="115" fillId="33" borderId="120" applyNumberFormat="0" applyAlignment="0" applyProtection="0"/>
    <xf numFmtId="0" fontId="116" fillId="0" borderId="121" applyNumberFormat="0" applyFill="0" applyAlignment="0" applyProtection="0"/>
    <xf numFmtId="0" fontId="122" fillId="37" borderId="120" applyNumberFormat="0" applyAlignment="0" applyProtection="0"/>
  </cellStyleXfs>
  <cellXfs count="176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6" xfId="0" applyFont="1" applyBorder="1"/>
    <xf numFmtId="0" fontId="4" fillId="0" borderId="0" xfId="0" applyFont="1"/>
    <xf numFmtId="0" fontId="0" fillId="0" borderId="0" xfId="0" applyAlignment="1">
      <alignment vertical="top"/>
    </xf>
    <xf numFmtId="0" fontId="8" fillId="0" borderId="0" xfId="0" applyFont="1"/>
    <xf numFmtId="0" fontId="11" fillId="0" borderId="0" xfId="0" applyFont="1"/>
    <xf numFmtId="0" fontId="15" fillId="2" borderId="9" xfId="0" applyFont="1" applyFill="1" applyBorder="1"/>
    <xf numFmtId="0" fontId="15" fillId="2" borderId="9" xfId="0" applyFont="1" applyFill="1" applyBorder="1" applyAlignment="1">
      <alignment horizontal="center" vertical="top"/>
    </xf>
    <xf numFmtId="0" fontId="15" fillId="2" borderId="10" xfId="0" applyFont="1" applyFill="1" applyBorder="1" applyAlignment="1">
      <alignment vertical="center"/>
    </xf>
    <xf numFmtId="0" fontId="15" fillId="3" borderId="8" xfId="0" applyFont="1" applyFill="1" applyBorder="1"/>
    <xf numFmtId="0" fontId="15" fillId="3" borderId="9" xfId="0" applyFont="1" applyFill="1" applyBorder="1"/>
    <xf numFmtId="0" fontId="15" fillId="3" borderId="9" xfId="0" applyFont="1" applyFill="1" applyBorder="1" applyAlignment="1">
      <alignment horizontal="center"/>
    </xf>
    <xf numFmtId="0" fontId="15" fillId="3" borderId="10" xfId="0" applyFont="1" applyFill="1" applyBorder="1"/>
    <xf numFmtId="0" fontId="11" fillId="0" borderId="0" xfId="0" applyFont="1" applyAlignment="1">
      <alignment horizontal="center"/>
    </xf>
    <xf numFmtId="0" fontId="11" fillId="4" borderId="8" xfId="0" applyFont="1" applyFill="1" applyBorder="1"/>
    <xf numFmtId="0" fontId="11" fillId="4" borderId="9" xfId="0" applyFont="1" applyFill="1" applyBorder="1"/>
    <xf numFmtId="0" fontId="1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vertical="center"/>
    </xf>
    <xf numFmtId="0" fontId="11" fillId="5" borderId="0" xfId="0" applyFont="1" applyFill="1"/>
    <xf numFmtId="164" fontId="11" fillId="0" borderId="0" xfId="0" applyNumberFormat="1" applyFont="1"/>
    <xf numFmtId="9" fontId="11" fillId="0" borderId="7" xfId="2" applyFont="1" applyBorder="1" applyAlignment="1">
      <alignment horizontal="center"/>
    </xf>
    <xf numFmtId="0" fontId="12" fillId="0" borderId="0" xfId="0" applyFont="1"/>
    <xf numFmtId="0" fontId="8" fillId="0" borderId="5" xfId="0" applyFont="1" applyBorder="1"/>
    <xf numFmtId="0" fontId="11" fillId="4" borderId="9" xfId="0" applyFont="1" applyFill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  <xf numFmtId="10" fontId="11" fillId="0" borderId="0" xfId="2" applyNumberFormat="1" applyFont="1" applyBorder="1"/>
    <xf numFmtId="0" fontId="12" fillId="5" borderId="0" xfId="0" applyFont="1" applyFill="1"/>
    <xf numFmtId="9" fontId="11" fillId="0" borderId="0" xfId="2" applyFont="1" applyBorder="1"/>
    <xf numFmtId="0" fontId="11" fillId="0" borderId="15" xfId="0" applyFont="1" applyBorder="1"/>
    <xf numFmtId="0" fontId="11" fillId="0" borderId="9" xfId="0" applyFont="1" applyBorder="1"/>
    <xf numFmtId="0" fontId="13" fillId="0" borderId="0" xfId="0" applyFont="1"/>
    <xf numFmtId="0" fontId="12" fillId="0" borderId="5" xfId="0" applyFont="1" applyBorder="1"/>
    <xf numFmtId="0" fontId="14" fillId="0" borderId="0" xfId="0" applyFont="1"/>
    <xf numFmtId="9" fontId="11" fillId="0" borderId="0" xfId="0" applyNumberFormat="1" applyFont="1"/>
    <xf numFmtId="166" fontId="11" fillId="0" borderId="0" xfId="5" applyNumberFormat="1" applyFont="1"/>
    <xf numFmtId="166" fontId="11" fillId="0" borderId="0" xfId="5" applyNumberFormat="1" applyFont="1" applyBorder="1"/>
    <xf numFmtId="166" fontId="11" fillId="0" borderId="0" xfId="0" applyNumberFormat="1" applyFont="1"/>
    <xf numFmtId="43" fontId="11" fillId="0" borderId="0" xfId="0" applyNumberFormat="1" applyFont="1"/>
    <xf numFmtId="166" fontId="11" fillId="0" borderId="0" xfId="5" applyNumberFormat="1" applyFont="1" applyFill="1" applyBorder="1"/>
    <xf numFmtId="0" fontId="11" fillId="0" borderId="10" xfId="0" applyFont="1" applyBorder="1"/>
    <xf numFmtId="0" fontId="3" fillId="0" borderId="0" xfId="0" applyFont="1" applyAlignment="1">
      <alignment horizontal="center"/>
    </xf>
    <xf numFmtId="166" fontId="12" fillId="0" borderId="0" xfId="5" applyNumberFormat="1" applyFont="1" applyBorder="1"/>
    <xf numFmtId="166" fontId="3" fillId="0" borderId="0" xfId="5" applyNumberFormat="1" applyFont="1"/>
    <xf numFmtId="0" fontId="10" fillId="0" borderId="0" xfId="0" applyFont="1"/>
    <xf numFmtId="166" fontId="11" fillId="0" borderId="6" xfId="5" applyNumberFormat="1" applyFont="1" applyBorder="1" applyAlignment="1">
      <alignment horizontal="right"/>
    </xf>
    <xf numFmtId="0" fontId="13" fillId="0" borderId="5" xfId="0" applyFont="1" applyBorder="1"/>
    <xf numFmtId="0" fontId="13" fillId="0" borderId="6" xfId="0" applyFont="1" applyBorder="1"/>
    <xf numFmtId="166" fontId="2" fillId="0" borderId="0" xfId="5" applyNumberFormat="1" applyFont="1" applyBorder="1"/>
    <xf numFmtId="10" fontId="11" fillId="0" borderId="0" xfId="2" applyNumberFormat="1" applyFont="1" applyFill="1" applyBorder="1"/>
    <xf numFmtId="9" fontId="11" fillId="0" borderId="0" xfId="2" applyFont="1" applyFill="1" applyBorder="1"/>
    <xf numFmtId="0" fontId="12" fillId="0" borderId="9" xfId="0" applyFont="1" applyBorder="1"/>
    <xf numFmtId="0" fontId="11" fillId="0" borderId="8" xfId="0" applyFont="1" applyBorder="1"/>
    <xf numFmtId="0" fontId="11" fillId="0" borderId="0" xfId="0" applyFont="1" applyAlignment="1">
      <alignment vertical="top"/>
    </xf>
    <xf numFmtId="14" fontId="11" fillId="0" borderId="0" xfId="0" applyNumberFormat="1" applyFont="1" applyAlignment="1">
      <alignment vertical="top"/>
    </xf>
    <xf numFmtId="0" fontId="20" fillId="0" borderId="0" xfId="0" applyFont="1"/>
    <xf numFmtId="0" fontId="21" fillId="0" borderId="0" xfId="0" applyFont="1"/>
    <xf numFmtId="166" fontId="11" fillId="0" borderId="7" xfId="5" applyNumberFormat="1" applyFont="1" applyFill="1" applyBorder="1"/>
    <xf numFmtId="22" fontId="11" fillId="0" borderId="0" xfId="0" applyNumberFormat="1" applyFont="1"/>
    <xf numFmtId="166" fontId="12" fillId="0" borderId="0" xfId="5" applyNumberFormat="1" applyFont="1" applyFill="1" applyBorder="1"/>
    <xf numFmtId="1" fontId="11" fillId="7" borderId="0" xfId="5" applyNumberFormat="1" applyFont="1" applyFill="1" applyBorder="1" applyAlignment="1">
      <alignment horizontal="center"/>
    </xf>
    <xf numFmtId="0" fontId="11" fillId="7" borderId="0" xfId="0" applyFont="1" applyFill="1"/>
    <xf numFmtId="0" fontId="11" fillId="7" borderId="0" xfId="0" applyFont="1" applyFill="1" applyAlignment="1">
      <alignment horizontal="center"/>
    </xf>
    <xf numFmtId="0" fontId="2" fillId="7" borderId="0" xfId="0" applyFont="1" applyFill="1"/>
    <xf numFmtId="166" fontId="2" fillId="0" borderId="0" xfId="5" applyNumberFormat="1" applyFont="1" applyFill="1" applyBorder="1" applyAlignment="1">
      <alignment horizontal="center"/>
    </xf>
    <xf numFmtId="0" fontId="12" fillId="0" borderId="21" xfId="0" applyFont="1" applyBorder="1"/>
    <xf numFmtId="0" fontId="27" fillId="0" borderId="0" xfId="0" applyFont="1"/>
    <xf numFmtId="0" fontId="13" fillId="0" borderId="19" xfId="0" applyFont="1" applyBorder="1"/>
    <xf numFmtId="0" fontId="0" fillId="0" borderId="0" xfId="0" quotePrefix="1"/>
    <xf numFmtId="0" fontId="11" fillId="0" borderId="21" xfId="0" applyFont="1" applyBorder="1"/>
    <xf numFmtId="0" fontId="11" fillId="0" borderId="19" xfId="0" applyFont="1" applyBorder="1"/>
    <xf numFmtId="0" fontId="12" fillId="8" borderId="27" xfId="0" applyFont="1" applyFill="1" applyBorder="1"/>
    <xf numFmtId="0" fontId="12" fillId="8" borderId="23" xfId="0" applyFont="1" applyFill="1" applyBorder="1"/>
    <xf numFmtId="0" fontId="11" fillId="8" borderId="23" xfId="0" applyFont="1" applyFill="1" applyBorder="1"/>
    <xf numFmtId="166" fontId="11" fillId="0" borderId="0" xfId="5" applyNumberFormat="1" applyFont="1" applyBorder="1" applyAlignment="1">
      <alignment horizontal="right"/>
    </xf>
    <xf numFmtId="10" fontId="11" fillId="0" borderId="0" xfId="2" applyNumberFormat="1" applyFont="1" applyBorder="1" applyAlignment="1">
      <alignment horizontal="right"/>
    </xf>
    <xf numFmtId="9" fontId="11" fillId="0" borderId="0" xfId="2" applyFont="1" applyBorder="1" applyAlignment="1">
      <alignment horizontal="right"/>
    </xf>
    <xf numFmtId="43" fontId="11" fillId="0" borderId="0" xfId="5" applyFont="1" applyFill="1" applyBorder="1" applyAlignment="1">
      <alignment horizontal="right"/>
    </xf>
    <xf numFmtId="9" fontId="11" fillId="7" borderId="0" xfId="0" applyNumberFormat="1" applyFont="1" applyFill="1" applyAlignment="1">
      <alignment horizontal="right"/>
    </xf>
    <xf numFmtId="165" fontId="11" fillId="0" borderId="0" xfId="0" applyNumberFormat="1" applyFont="1"/>
    <xf numFmtId="43" fontId="11" fillId="0" borderId="0" xfId="5" applyFont="1" applyBorder="1"/>
    <xf numFmtId="166" fontId="12" fillId="0" borderId="0" xfId="2" applyNumberFormat="1" applyFont="1" applyFill="1" applyBorder="1"/>
    <xf numFmtId="0" fontId="27" fillId="0" borderId="21" xfId="0" applyFont="1" applyBorder="1"/>
    <xf numFmtId="0" fontId="16" fillId="0" borderId="0" xfId="0" quotePrefix="1" applyFont="1"/>
    <xf numFmtId="0" fontId="30" fillId="0" borderId="0" xfId="0" applyFont="1"/>
    <xf numFmtId="0" fontId="29" fillId="0" borderId="0" xfId="0" quotePrefix="1" applyFont="1" applyAlignment="1">
      <alignment vertical="center"/>
    </xf>
    <xf numFmtId="0" fontId="29" fillId="0" borderId="0" xfId="0" quotePrefix="1" applyFont="1"/>
    <xf numFmtId="164" fontId="8" fillId="0" borderId="0" xfId="1" applyNumberFormat="1" applyFont="1"/>
    <xf numFmtId="164" fontId="8" fillId="0" borderId="6" xfId="1" applyNumberFormat="1" applyFont="1" applyBorder="1"/>
    <xf numFmtId="166" fontId="13" fillId="0" borderId="0" xfId="5" applyNumberFormat="1" applyFont="1" applyFill="1" applyBorder="1"/>
    <xf numFmtId="166" fontId="15" fillId="0" borderId="0" xfId="5" applyNumberFormat="1" applyFont="1" applyFill="1" applyBorder="1"/>
    <xf numFmtId="0" fontId="15" fillId="0" borderId="0" xfId="0" applyFont="1"/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9" fontId="12" fillId="0" borderId="0" xfId="2" applyFont="1" applyFill="1" applyBorder="1"/>
    <xf numFmtId="9" fontId="13" fillId="0" borderId="0" xfId="2" applyFont="1" applyFill="1" applyBorder="1"/>
    <xf numFmtId="43" fontId="11" fillId="0" borderId="0" xfId="5" applyFont="1" applyFill="1" applyBorder="1"/>
    <xf numFmtId="0" fontId="16" fillId="0" borderId="0" xfId="0" applyFont="1"/>
    <xf numFmtId="165" fontId="16" fillId="0" borderId="0" xfId="2" applyNumberFormat="1" applyFont="1" applyFill="1" applyBorder="1"/>
    <xf numFmtId="164" fontId="11" fillId="0" borderId="0" xfId="1" applyNumberFormat="1" applyFont="1" applyFill="1" applyBorder="1"/>
    <xf numFmtId="166" fontId="13" fillId="0" borderId="0" xfId="5" applyNumberFormat="1" applyFont="1" applyFill="1" applyBorder="1" applyAlignment="1"/>
    <xf numFmtId="166" fontId="11" fillId="0" borderId="0" xfId="5" applyNumberFormat="1" applyFont="1" applyFill="1" applyBorder="1" applyAlignment="1">
      <alignment horizontal="right"/>
    </xf>
    <xf numFmtId="10" fontId="11" fillId="0" borderId="0" xfId="0" applyNumberFormat="1" applyFont="1"/>
    <xf numFmtId="0" fontId="33" fillId="0" borderId="0" xfId="0" applyFont="1"/>
    <xf numFmtId="9" fontId="16" fillId="0" borderId="0" xfId="2" applyFont="1"/>
    <xf numFmtId="166" fontId="16" fillId="0" borderId="0" xfId="0" applyNumberFormat="1" applyFont="1"/>
    <xf numFmtId="0" fontId="10" fillId="0" borderId="30" xfId="0" applyFont="1" applyBorder="1"/>
    <xf numFmtId="0" fontId="32" fillId="2" borderId="8" xfId="0" applyFont="1" applyFill="1" applyBorder="1" applyAlignment="1">
      <alignment horizontal="left"/>
    </xf>
    <xf numFmtId="10" fontId="8" fillId="0" borderId="6" xfId="0" applyNumberFormat="1" applyFont="1" applyBorder="1"/>
    <xf numFmtId="0" fontId="8" fillId="0" borderId="5" xfId="0" applyFont="1" applyBorder="1" applyAlignment="1">
      <alignment horizontal="right"/>
    </xf>
    <xf numFmtId="164" fontId="8" fillId="0" borderId="6" xfId="0" applyNumberFormat="1" applyFont="1" applyBorder="1"/>
    <xf numFmtId="0" fontId="8" fillId="0" borderId="6" xfId="0" applyFont="1" applyBorder="1"/>
    <xf numFmtId="44" fontId="8" fillId="0" borderId="6" xfId="0" applyNumberFormat="1" applyFont="1" applyBorder="1"/>
    <xf numFmtId="170" fontId="8" fillId="0" borderId="6" xfId="0" applyNumberFormat="1" applyFont="1" applyBorder="1"/>
    <xf numFmtId="0" fontId="9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 vertical="top"/>
    </xf>
    <xf numFmtId="0" fontId="32" fillId="2" borderId="10" xfId="0" applyFont="1" applyFill="1" applyBorder="1" applyAlignment="1">
      <alignment horizontal="left"/>
    </xf>
    <xf numFmtId="0" fontId="8" fillId="0" borderId="35" xfId="0" applyFont="1" applyBorder="1"/>
    <xf numFmtId="44" fontId="9" fillId="0" borderId="36" xfId="0" applyNumberFormat="1" applyFont="1" applyBorder="1"/>
    <xf numFmtId="0" fontId="10" fillId="0" borderId="31" xfId="0" applyFont="1" applyBorder="1"/>
    <xf numFmtId="0" fontId="31" fillId="0" borderId="37" xfId="0" applyFont="1" applyBorder="1" applyAlignment="1">
      <alignment horizontal="right"/>
    </xf>
    <xf numFmtId="170" fontId="8" fillId="0" borderId="38" xfId="2" applyNumberFormat="1" applyFont="1" applyBorder="1"/>
    <xf numFmtId="0" fontId="20" fillId="0" borderId="5" xfId="0" applyFont="1" applyBorder="1"/>
    <xf numFmtId="0" fontId="34" fillId="5" borderId="0" xfId="0" applyFont="1" applyFill="1"/>
    <xf numFmtId="10" fontId="11" fillId="9" borderId="29" xfId="0" applyNumberFormat="1" applyFont="1" applyFill="1" applyBorder="1" applyAlignment="1">
      <alignment horizontal="center"/>
    </xf>
    <xf numFmtId="169" fontId="12" fillId="0" borderId="0" xfId="0" applyNumberFormat="1" applyFont="1"/>
    <xf numFmtId="166" fontId="12" fillId="0" borderId="0" xfId="0" applyNumberFormat="1" applyFont="1"/>
    <xf numFmtId="164" fontId="13" fillId="0" borderId="0" xfId="0" applyNumberFormat="1" applyFont="1"/>
    <xf numFmtId="169" fontId="30" fillId="0" borderId="0" xfId="0" applyNumberFormat="1" applyFont="1"/>
    <xf numFmtId="9" fontId="11" fillId="9" borderId="7" xfId="0" applyNumberFormat="1" applyFont="1" applyFill="1" applyBorder="1" applyAlignment="1">
      <alignment horizontal="center"/>
    </xf>
    <xf numFmtId="0" fontId="11" fillId="0" borderId="39" xfId="0" applyFont="1" applyBorder="1"/>
    <xf numFmtId="0" fontId="11" fillId="0" borderId="41" xfId="0" applyFont="1" applyBorder="1"/>
    <xf numFmtId="0" fontId="11" fillId="0" borderId="0" xfId="0" quotePrefix="1" applyFont="1"/>
    <xf numFmtId="0" fontId="11" fillId="0" borderId="16" xfId="0" applyFont="1" applyBorder="1"/>
    <xf numFmtId="0" fontId="11" fillId="0" borderId="11" xfId="0" applyFont="1" applyBorder="1"/>
    <xf numFmtId="0" fontId="11" fillId="0" borderId="40" xfId="0" applyFont="1" applyBorder="1"/>
    <xf numFmtId="0" fontId="11" fillId="0" borderId="42" xfId="0" applyFont="1" applyBorder="1"/>
    <xf numFmtId="164" fontId="16" fillId="0" borderId="0" xfId="1" applyNumberFormat="1" applyFont="1"/>
    <xf numFmtId="9" fontId="11" fillId="0" borderId="14" xfId="2" applyFont="1" applyBorder="1" applyAlignment="1">
      <alignment horizontal="center"/>
    </xf>
    <xf numFmtId="9" fontId="11" fillId="0" borderId="9" xfId="2" applyFont="1" applyBorder="1" applyAlignment="1">
      <alignment horizontal="center"/>
    </xf>
    <xf numFmtId="0" fontId="12" fillId="0" borderId="45" xfId="0" applyFont="1" applyBorder="1"/>
    <xf numFmtId="166" fontId="22" fillId="0" borderId="0" xfId="6" applyNumberFormat="1"/>
    <xf numFmtId="165" fontId="11" fillId="9" borderId="7" xfId="2" applyNumberFormat="1" applyFont="1" applyFill="1" applyBorder="1" applyAlignment="1">
      <alignment horizontal="center"/>
    </xf>
    <xf numFmtId="168" fontId="25" fillId="0" borderId="0" xfId="0" applyNumberFormat="1" applyFont="1" applyAlignment="1" applyProtection="1">
      <alignment horizontal="left"/>
      <protection locked="0"/>
    </xf>
    <xf numFmtId="37" fontId="11" fillId="0" borderId="0" xfId="0" applyNumberFormat="1" applyFont="1"/>
    <xf numFmtId="38" fontId="11" fillId="0" borderId="0" xfId="0" applyNumberFormat="1" applyFont="1"/>
    <xf numFmtId="0" fontId="25" fillId="0" borderId="0" xfId="7" applyNumberFormat="1" applyFont="1" applyAlignment="1" applyProtection="1">
      <alignment horizontal="left"/>
      <protection locked="0"/>
    </xf>
    <xf numFmtId="164" fontId="11" fillId="0" borderId="0" xfId="1" applyNumberFormat="1" applyFont="1" applyAlignment="1">
      <alignment horizontal="center"/>
    </xf>
    <xf numFmtId="10" fontId="11" fillId="0" borderId="0" xfId="2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/>
    <xf numFmtId="0" fontId="4" fillId="0" borderId="41" xfId="0" applyFont="1" applyBorder="1"/>
    <xf numFmtId="0" fontId="4" fillId="0" borderId="11" xfId="0" applyFont="1" applyBorder="1"/>
    <xf numFmtId="0" fontId="2" fillId="0" borderId="17" xfId="0" applyFont="1" applyBorder="1"/>
    <xf numFmtId="0" fontId="11" fillId="3" borderId="10" xfId="0" applyFont="1" applyFill="1" applyBorder="1"/>
    <xf numFmtId="3" fontId="2" fillId="0" borderId="0" xfId="0" applyNumberFormat="1" applyFont="1"/>
    <xf numFmtId="0" fontId="41" fillId="0" borderId="0" xfId="0" applyFont="1"/>
    <xf numFmtId="0" fontId="40" fillId="0" borderId="0" xfId="0" applyFont="1"/>
    <xf numFmtId="9" fontId="16" fillId="0" borderId="0" xfId="0" applyNumberFormat="1" applyFont="1"/>
    <xf numFmtId="0" fontId="13" fillId="0" borderId="0" xfId="0" applyFont="1" applyAlignment="1">
      <alignment vertical="top"/>
    </xf>
    <xf numFmtId="0" fontId="13" fillId="0" borderId="39" xfId="0" applyFont="1" applyBorder="1"/>
    <xf numFmtId="9" fontId="11" fillId="0" borderId="0" xfId="2" applyFont="1" applyFill="1" applyBorder="1" applyAlignment="1">
      <alignment horizontal="center"/>
    </xf>
    <xf numFmtId="3" fontId="11" fillId="0" borderId="40" xfId="0" applyNumberFormat="1" applyFont="1" applyBorder="1"/>
    <xf numFmtId="0" fontId="12" fillId="0" borderId="41" xfId="0" applyFont="1" applyBorder="1"/>
    <xf numFmtId="0" fontId="11" fillId="0" borderId="14" xfId="0" applyFont="1" applyBorder="1"/>
    <xf numFmtId="0" fontId="0" fillId="0" borderId="5" xfId="0" applyBorder="1"/>
    <xf numFmtId="169" fontId="11" fillId="0" borderId="0" xfId="5" applyNumberFormat="1" applyFont="1" applyFill="1" applyBorder="1"/>
    <xf numFmtId="169" fontId="11" fillId="0" borderId="15" xfId="0" applyNumberFormat="1" applyFont="1" applyBorder="1"/>
    <xf numFmtId="166" fontId="2" fillId="5" borderId="0" xfId="9" applyNumberFormat="1" applyFont="1" applyFill="1" applyBorder="1"/>
    <xf numFmtId="0" fontId="5" fillId="5" borderId="0" xfId="8" applyFill="1"/>
    <xf numFmtId="43" fontId="2" fillId="5" borderId="40" xfId="9" applyFont="1" applyFill="1" applyBorder="1"/>
    <xf numFmtId="43" fontId="2" fillId="5" borderId="39" xfId="9" applyFont="1" applyFill="1" applyBorder="1"/>
    <xf numFmtId="166" fontId="2" fillId="5" borderId="17" xfId="9" applyNumberFormat="1" applyFont="1" applyFill="1" applyBorder="1"/>
    <xf numFmtId="166" fontId="39" fillId="5" borderId="0" xfId="9" applyNumberFormat="1" applyFont="1" applyFill="1" applyBorder="1" applyAlignment="1">
      <alignment horizontal="centerContinuous"/>
    </xf>
    <xf numFmtId="166" fontId="4" fillId="5" borderId="0" xfId="9" applyNumberFormat="1" applyFont="1" applyFill="1" applyBorder="1"/>
    <xf numFmtId="166" fontId="2" fillId="5" borderId="39" xfId="9" applyNumberFormat="1" applyFont="1" applyFill="1" applyBorder="1"/>
    <xf numFmtId="173" fontId="2" fillId="5" borderId="39" xfId="9" applyNumberFormat="1" applyFont="1" applyFill="1" applyBorder="1"/>
    <xf numFmtId="166" fontId="39" fillId="5" borderId="0" xfId="9" applyNumberFormat="1" applyFont="1" applyFill="1" applyBorder="1"/>
    <xf numFmtId="166" fontId="39" fillId="5" borderId="39" xfId="9" applyNumberFormat="1" applyFont="1" applyFill="1" applyBorder="1"/>
    <xf numFmtId="166" fontId="2" fillId="5" borderId="0" xfId="9" applyNumberFormat="1" applyFont="1" applyFill="1" applyBorder="1" applyAlignment="1">
      <alignment horizontal="left" indent="1"/>
    </xf>
    <xf numFmtId="9" fontId="2" fillId="5" borderId="0" xfId="2" applyFont="1" applyFill="1" applyBorder="1"/>
    <xf numFmtId="9" fontId="2" fillId="5" borderId="39" xfId="2" applyFont="1" applyFill="1" applyBorder="1"/>
    <xf numFmtId="166" fontId="4" fillId="5" borderId="0" xfId="9" applyNumberFormat="1" applyFont="1" applyFill="1" applyBorder="1" applyAlignment="1">
      <alignment horizontal="left" indent="2"/>
    </xf>
    <xf numFmtId="166" fontId="44" fillId="5" borderId="0" xfId="9" applyNumberFormat="1" applyFont="1" applyFill="1" applyBorder="1"/>
    <xf numFmtId="166" fontId="44" fillId="5" borderId="40" xfId="9" applyNumberFormat="1" applyFont="1" applyFill="1" applyBorder="1"/>
    <xf numFmtId="166" fontId="45" fillId="5" borderId="39" xfId="9" applyNumberFormat="1" applyFont="1" applyFill="1" applyBorder="1"/>
    <xf numFmtId="166" fontId="49" fillId="5" borderId="0" xfId="9" applyNumberFormat="1" applyFont="1" applyFill="1" applyBorder="1"/>
    <xf numFmtId="166" fontId="49" fillId="5" borderId="39" xfId="9" applyNumberFormat="1" applyFont="1" applyFill="1" applyBorder="1"/>
    <xf numFmtId="43" fontId="2" fillId="5" borderId="39" xfId="9" applyFont="1" applyFill="1" applyBorder="1" applyAlignment="1">
      <alignment wrapText="1"/>
    </xf>
    <xf numFmtId="43" fontId="50" fillId="5" borderId="39" xfId="9" applyFont="1" applyFill="1" applyBorder="1" applyAlignment="1">
      <alignment wrapText="1"/>
    </xf>
    <xf numFmtId="166" fontId="50" fillId="5" borderId="0" xfId="9" applyNumberFormat="1" applyFont="1" applyFill="1" applyBorder="1"/>
    <xf numFmtId="43" fontId="39" fillId="5" borderId="39" xfId="9" applyFont="1" applyFill="1" applyBorder="1" applyAlignment="1">
      <alignment wrapText="1"/>
    </xf>
    <xf numFmtId="10" fontId="50" fillId="5" borderId="0" xfId="4" applyNumberFormat="1" applyFont="1" applyFill="1" applyBorder="1"/>
    <xf numFmtId="43" fontId="48" fillId="5" borderId="39" xfId="9" applyFont="1" applyFill="1" applyBorder="1"/>
    <xf numFmtId="43" fontId="2" fillId="5" borderId="41" xfId="9" applyFont="1" applyFill="1" applyBorder="1"/>
    <xf numFmtId="166" fontId="2" fillId="5" borderId="11" xfId="9" applyNumberFormat="1" applyFont="1" applyFill="1" applyBorder="1"/>
    <xf numFmtId="43" fontId="2" fillId="5" borderId="42" xfId="9" applyFont="1" applyFill="1" applyBorder="1"/>
    <xf numFmtId="166" fontId="71" fillId="5" borderId="0" xfId="9" applyNumberFormat="1" applyFont="1" applyFill="1" applyBorder="1"/>
    <xf numFmtId="173" fontId="2" fillId="5" borderId="41" xfId="9" applyNumberFormat="1" applyFont="1" applyFill="1" applyBorder="1"/>
    <xf numFmtId="166" fontId="2" fillId="5" borderId="0" xfId="9" applyNumberFormat="1" applyFont="1" applyFill="1" applyBorder="1" applyAlignment="1">
      <alignment horizontal="right"/>
    </xf>
    <xf numFmtId="10" fontId="2" fillId="5" borderId="0" xfId="2" applyNumberFormat="1" applyFont="1" applyFill="1" applyBorder="1" applyAlignment="1">
      <alignment horizontal="right"/>
    </xf>
    <xf numFmtId="167" fontId="24" fillId="0" borderId="0" xfId="0" applyNumberFormat="1" applyFont="1"/>
    <xf numFmtId="0" fontId="25" fillId="0" borderId="0" xfId="0" applyFont="1"/>
    <xf numFmtId="167" fontId="24" fillId="0" borderId="0" xfId="0" applyNumberFormat="1" applyFont="1" applyAlignment="1" applyProtection="1">
      <alignment horizontal="left"/>
      <protection locked="0"/>
    </xf>
    <xf numFmtId="168" fontId="26" fillId="0" borderId="0" xfId="0" applyNumberFormat="1" applyFont="1" applyProtection="1">
      <protection locked="0"/>
    </xf>
    <xf numFmtId="167" fontId="25" fillId="0" borderId="0" xfId="0" applyNumberFormat="1" applyFont="1" applyAlignment="1" applyProtection="1">
      <alignment horizontal="left"/>
      <protection locked="0"/>
    </xf>
    <xf numFmtId="166" fontId="2" fillId="0" borderId="0" xfId="9" applyNumberFormat="1" applyFont="1" applyFill="1" applyBorder="1"/>
    <xf numFmtId="0" fontId="25" fillId="0" borderId="0" xfId="0" applyFont="1" applyAlignment="1">
      <alignment horizontal="left"/>
    </xf>
    <xf numFmtId="173" fontId="2" fillId="5" borderId="0" xfId="9" applyNumberFormat="1" applyFont="1" applyFill="1" applyBorder="1"/>
    <xf numFmtId="168" fontId="25" fillId="0" borderId="0" xfId="0" applyNumberFormat="1" applyFont="1" applyAlignment="1" applyProtection="1">
      <alignment horizontal="right"/>
      <protection locked="0"/>
    </xf>
    <xf numFmtId="166" fontId="71" fillId="4" borderId="0" xfId="9" applyNumberFormat="1" applyFont="1" applyFill="1" applyBorder="1"/>
    <xf numFmtId="166" fontId="2" fillId="4" borderId="0" xfId="9" applyNumberFormat="1" applyFont="1" applyFill="1" applyBorder="1"/>
    <xf numFmtId="0" fontId="11" fillId="4" borderId="0" xfId="0" applyFont="1" applyFill="1"/>
    <xf numFmtId="0" fontId="16" fillId="4" borderId="0" xfId="0" applyFont="1" applyFill="1"/>
    <xf numFmtId="9" fontId="16" fillId="4" borderId="0" xfId="0" applyNumberFormat="1" applyFont="1" applyFill="1"/>
    <xf numFmtId="0" fontId="11" fillId="0" borderId="18" xfId="0" applyFont="1" applyBorder="1"/>
    <xf numFmtId="0" fontId="13" fillId="0" borderId="17" xfId="0" applyFont="1" applyBorder="1"/>
    <xf numFmtId="0" fontId="13" fillId="0" borderId="16" xfId="0" applyFont="1" applyBorder="1"/>
    <xf numFmtId="9" fontId="11" fillId="0" borderId="60" xfId="2" applyFont="1" applyFill="1" applyBorder="1"/>
    <xf numFmtId="0" fontId="11" fillId="0" borderId="60" xfId="0" applyFont="1" applyBorder="1"/>
    <xf numFmtId="0" fontId="11" fillId="0" borderId="13" xfId="0" applyFont="1" applyBorder="1" applyAlignment="1">
      <alignment horizontal="center"/>
    </xf>
    <xf numFmtId="9" fontId="2" fillId="5" borderId="0" xfId="2" applyFont="1" applyFill="1" applyBorder="1" applyAlignment="1">
      <alignment horizontal="center"/>
    </xf>
    <xf numFmtId="8" fontId="11" fillId="0" borderId="0" xfId="0" applyNumberFormat="1" applyFont="1"/>
    <xf numFmtId="166" fontId="4" fillId="0" borderId="0" xfId="9" applyNumberFormat="1" applyFont="1" applyFill="1" applyBorder="1"/>
    <xf numFmtId="166" fontId="44" fillId="0" borderId="0" xfId="9" applyNumberFormat="1" applyFont="1" applyFill="1" applyBorder="1"/>
    <xf numFmtId="166" fontId="44" fillId="0" borderId="40" xfId="9" applyNumberFormat="1" applyFont="1" applyFill="1" applyBorder="1"/>
    <xf numFmtId="166" fontId="2" fillId="0" borderId="0" xfId="9" applyNumberFormat="1" applyFont="1" applyFill="1" applyBorder="1" applyAlignment="1">
      <alignment horizontal="left" indent="1"/>
    </xf>
    <xf numFmtId="166" fontId="71" fillId="0" borderId="0" xfId="9" applyNumberFormat="1" applyFont="1" applyFill="1" applyBorder="1"/>
    <xf numFmtId="166" fontId="2" fillId="0" borderId="11" xfId="9" applyNumberFormat="1" applyFont="1" applyFill="1" applyBorder="1"/>
    <xf numFmtId="0" fontId="11" fillId="28" borderId="0" xfId="0" applyFont="1" applyFill="1"/>
    <xf numFmtId="0" fontId="42" fillId="0" borderId="0" xfId="0" applyFont="1"/>
    <xf numFmtId="3" fontId="0" fillId="0" borderId="0" xfId="0" applyNumberFormat="1"/>
    <xf numFmtId="0" fontId="27" fillId="0" borderId="66" xfId="0" applyFont="1" applyBorder="1"/>
    <xf numFmtId="0" fontId="0" fillId="0" borderId="67" xfId="0" applyBorder="1"/>
    <xf numFmtId="0" fontId="27" fillId="0" borderId="68" xfId="0" applyFont="1" applyBorder="1"/>
    <xf numFmtId="3" fontId="0" fillId="0" borderId="6" xfId="0" applyNumberFormat="1" applyBorder="1"/>
    <xf numFmtId="0" fontId="0" fillId="0" borderId="64" xfId="0" applyBorder="1"/>
    <xf numFmtId="0" fontId="0" fillId="0" borderId="60" xfId="0" applyBorder="1"/>
    <xf numFmtId="3" fontId="0" fillId="0" borderId="62" xfId="0" applyNumberFormat="1" applyBorder="1"/>
    <xf numFmtId="0" fontId="27" fillId="0" borderId="60" xfId="0" applyFont="1" applyBorder="1"/>
    <xf numFmtId="165" fontId="0" fillId="0" borderId="60" xfId="0" applyNumberFormat="1" applyBorder="1" applyAlignment="1">
      <alignment horizontal="right"/>
    </xf>
    <xf numFmtId="0" fontId="0" fillId="0" borderId="0" xfId="0" applyAlignment="1">
      <alignment horizontal="left" indent="1"/>
    </xf>
    <xf numFmtId="165" fontId="43" fillId="0" borderId="0" xfId="0" applyNumberFormat="1" applyFont="1"/>
    <xf numFmtId="10" fontId="41" fillId="0" borderId="0" xfId="0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165" fontId="43" fillId="0" borderId="0" xfId="0" applyNumberFormat="1" applyFont="1" applyAlignment="1">
      <alignment horizontal="right"/>
    </xf>
    <xf numFmtId="165" fontId="0" fillId="0" borderId="0" xfId="0" applyNumberFormat="1"/>
    <xf numFmtId="3" fontId="28" fillId="0" borderId="0" xfId="0" applyNumberFormat="1" applyFont="1"/>
    <xf numFmtId="10" fontId="43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0" fillId="29" borderId="0" xfId="0" applyFill="1"/>
    <xf numFmtId="0" fontId="27" fillId="29" borderId="60" xfId="0" applyFont="1" applyFill="1" applyBorder="1"/>
    <xf numFmtId="0" fontId="0" fillId="29" borderId="60" xfId="0" applyFill="1" applyBorder="1"/>
    <xf numFmtId="171" fontId="0" fillId="29" borderId="60" xfId="0" applyNumberFormat="1" applyFill="1" applyBorder="1"/>
    <xf numFmtId="0" fontId="0" fillId="29" borderId="0" xfId="0" applyFill="1" applyAlignment="1">
      <alignment horizontal="left" indent="1"/>
    </xf>
    <xf numFmtId="3" fontId="0" fillId="29" borderId="0" xfId="0" applyNumberFormat="1" applyFill="1"/>
    <xf numFmtId="3" fontId="28" fillId="29" borderId="0" xfId="0" applyNumberFormat="1" applyFont="1" applyFill="1"/>
    <xf numFmtId="165" fontId="0" fillId="29" borderId="0" xfId="0" applyNumberFormat="1" applyFill="1"/>
    <xf numFmtId="172" fontId="0" fillId="29" borderId="0" xfId="0" applyNumberFormat="1" applyFill="1"/>
    <xf numFmtId="0" fontId="27" fillId="0" borderId="60" xfId="0" applyFont="1" applyBorder="1" applyAlignment="1">
      <alignment horizontal="left"/>
    </xf>
    <xf numFmtId="171" fontId="0" fillId="0" borderId="60" xfId="0" applyNumberFormat="1" applyBorder="1"/>
    <xf numFmtId="3" fontId="43" fillId="0" borderId="0" xfId="0" applyNumberFormat="1" applyFont="1"/>
    <xf numFmtId="172" fontId="0" fillId="0" borderId="0" xfId="0" applyNumberFormat="1"/>
    <xf numFmtId="165" fontId="74" fillId="0" borderId="0" xfId="0" applyNumberFormat="1" applyFont="1"/>
    <xf numFmtId="9" fontId="0" fillId="0" borderId="0" xfId="2" applyFont="1"/>
    <xf numFmtId="170" fontId="74" fillId="0" borderId="0" xfId="0" applyNumberFormat="1" applyFont="1"/>
    <xf numFmtId="0" fontId="11" fillId="28" borderId="39" xfId="0" applyFont="1" applyFill="1" applyBorder="1"/>
    <xf numFmtId="0" fontId="11" fillId="28" borderId="40" xfId="0" applyFont="1" applyFill="1" applyBorder="1"/>
    <xf numFmtId="0" fontId="11" fillId="28" borderId="0" xfId="0" applyFont="1" applyFill="1" applyAlignment="1">
      <alignment horizontal="center"/>
    </xf>
    <xf numFmtId="9" fontId="11" fillId="28" borderId="0" xfId="2" applyFont="1" applyFill="1" applyBorder="1"/>
    <xf numFmtId="0" fontId="16" fillId="28" borderId="0" xfId="0" applyFont="1" applyFill="1"/>
    <xf numFmtId="0" fontId="12" fillId="28" borderId="0" xfId="0" applyFont="1" applyFill="1"/>
    <xf numFmtId="0" fontId="19" fillId="0" borderId="0" xfId="0" applyFont="1"/>
    <xf numFmtId="0" fontId="75" fillId="0" borderId="39" xfId="0" applyFont="1" applyBorder="1"/>
    <xf numFmtId="0" fontId="75" fillId="0" borderId="0" xfId="0" applyFont="1"/>
    <xf numFmtId="0" fontId="75" fillId="0" borderId="40" xfId="0" applyFont="1" applyBorder="1"/>
    <xf numFmtId="0" fontId="11" fillId="28" borderId="0" xfId="0" applyFont="1" applyFill="1" applyAlignment="1">
      <alignment horizontal="right"/>
    </xf>
    <xf numFmtId="0" fontId="0" fillId="0" borderId="40" xfId="0" applyBorder="1"/>
    <xf numFmtId="0" fontId="0" fillId="0" borderId="11" xfId="0" applyBorder="1"/>
    <xf numFmtId="0" fontId="0" fillId="0" borderId="42" xfId="0" applyBorder="1"/>
    <xf numFmtId="0" fontId="0" fillId="0" borderId="40" xfId="0" applyBorder="1" applyAlignment="1">
      <alignment horizontal="center"/>
    </xf>
    <xf numFmtId="10" fontId="11" fillId="0" borderId="7" xfId="2" applyNumberFormat="1" applyFont="1" applyBorder="1" applyAlignment="1">
      <alignment horizontal="center"/>
    </xf>
    <xf numFmtId="166" fontId="2" fillId="0" borderId="0" xfId="5" applyNumberFormat="1" applyFont="1"/>
    <xf numFmtId="0" fontId="76" fillId="0" borderId="0" xfId="554"/>
    <xf numFmtId="0" fontId="77" fillId="0" borderId="0" xfId="554" applyFont="1"/>
    <xf numFmtId="0" fontId="77" fillId="0" borderId="0" xfId="554" applyFont="1" applyAlignment="1">
      <alignment horizontal="center"/>
    </xf>
    <xf numFmtId="166" fontId="0" fillId="0" borderId="0" xfId="0" applyNumberFormat="1"/>
    <xf numFmtId="37" fontId="11" fillId="0" borderId="6" xfId="0" applyNumberFormat="1" applyFont="1" applyBorder="1" applyAlignment="1">
      <alignment horizontal="center"/>
    </xf>
    <xf numFmtId="0" fontId="18" fillId="0" borderId="0" xfId="0" applyFont="1"/>
    <xf numFmtId="0" fontId="11" fillId="0" borderId="61" xfId="0" applyFont="1" applyBorder="1"/>
    <xf numFmtId="0" fontId="5" fillId="0" borderId="0" xfId="54"/>
    <xf numFmtId="0" fontId="2" fillId="0" borderId="0" xfId="54" applyFont="1"/>
    <xf numFmtId="166" fontId="2" fillId="0" borderId="0" xfId="10" applyNumberFormat="1" applyFont="1" applyAlignment="1">
      <alignment horizontal="center"/>
    </xf>
    <xf numFmtId="0" fontId="2" fillId="0" borderId="39" xfId="54" applyFont="1" applyBorder="1"/>
    <xf numFmtId="0" fontId="73" fillId="0" borderId="0" xfId="54" applyFont="1" applyAlignment="1">
      <alignment horizontal="center"/>
    </xf>
    <xf numFmtId="9" fontId="2" fillId="0" borderId="0" xfId="55" applyFont="1" applyAlignment="1">
      <alignment horizontal="center"/>
    </xf>
    <xf numFmtId="0" fontId="81" fillId="0" borderId="0" xfId="54" applyFont="1"/>
    <xf numFmtId="43" fontId="81" fillId="0" borderId="0" xfId="10" applyFont="1"/>
    <xf numFmtId="10" fontId="82" fillId="0" borderId="0" xfId="14" applyNumberFormat="1" applyFont="1" applyFill="1"/>
    <xf numFmtId="10" fontId="82" fillId="0" borderId="0" xfId="54" applyNumberFormat="1" applyFont="1"/>
    <xf numFmtId="10" fontId="2" fillId="0" borderId="0" xfId="14" applyNumberFormat="1" applyFont="1" applyFill="1" applyAlignment="1">
      <alignment horizontal="center"/>
    </xf>
    <xf numFmtId="10" fontId="83" fillId="0" borderId="0" xfId="55" applyNumberFormat="1" applyFont="1" applyAlignment="1">
      <alignment horizontal="right"/>
    </xf>
    <xf numFmtId="164" fontId="2" fillId="0" borderId="0" xfId="29" applyNumberFormat="1" applyFont="1" applyAlignment="1">
      <alignment horizontal="center"/>
    </xf>
    <xf numFmtId="183" fontId="2" fillId="0" borderId="0" xfId="10" applyNumberFormat="1" applyFont="1" applyAlignment="1">
      <alignment horizontal="center" vertical="center"/>
    </xf>
    <xf numFmtId="0" fontId="2" fillId="0" borderId="75" xfId="54" applyFont="1" applyBorder="1"/>
    <xf numFmtId="0" fontId="2" fillId="0" borderId="77" xfId="54" applyFont="1" applyBorder="1"/>
    <xf numFmtId="0" fontId="2" fillId="0" borderId="78" xfId="54" applyFont="1" applyBorder="1"/>
    <xf numFmtId="0" fontId="71" fillId="0" borderId="39" xfId="54" applyFont="1" applyBorder="1"/>
    <xf numFmtId="0" fontId="2" fillId="0" borderId="79" xfId="54" applyFont="1" applyBorder="1"/>
    <xf numFmtId="0" fontId="85" fillId="0" borderId="0" xfId="54" applyFont="1"/>
    <xf numFmtId="166" fontId="2" fillId="0" borderId="0" xfId="10" applyNumberFormat="1" applyFont="1"/>
    <xf numFmtId="0" fontId="4" fillId="29" borderId="0" xfId="54" applyFont="1" applyFill="1" applyAlignment="1">
      <alignment vertical="top" wrapText="1"/>
    </xf>
    <xf numFmtId="0" fontId="73" fillId="0" borderId="11" xfId="54" applyFont="1" applyBorder="1" applyAlignment="1">
      <alignment vertical="top" wrapText="1"/>
    </xf>
    <xf numFmtId="43" fontId="4" fillId="0" borderId="11" xfId="56" applyFont="1" applyBorder="1"/>
    <xf numFmtId="166" fontId="4" fillId="0" borderId="11" xfId="56" applyNumberFormat="1" applyFont="1" applyBorder="1"/>
    <xf numFmtId="0" fontId="73" fillId="0" borderId="0" xfId="54" applyFont="1"/>
    <xf numFmtId="43" fontId="2" fillId="0" borderId="0" xfId="56" applyFont="1"/>
    <xf numFmtId="43" fontId="2" fillId="0" borderId="0" xfId="56" applyFont="1" applyAlignment="1">
      <alignment horizontal="center" vertical="center"/>
    </xf>
    <xf numFmtId="0" fontId="78" fillId="0" borderId="0" xfId="54" applyFont="1"/>
    <xf numFmtId="0" fontId="11" fillId="0" borderId="70" xfId="54" applyFont="1" applyBorder="1" applyAlignment="1">
      <alignment horizontal="left" vertical="center"/>
    </xf>
    <xf numFmtId="166" fontId="2" fillId="0" borderId="0" xfId="56" applyNumberFormat="1" applyFont="1"/>
    <xf numFmtId="166" fontId="2" fillId="0" borderId="0" xfId="56" applyNumberFormat="1" applyFont="1" applyAlignment="1">
      <alignment horizontal="center" vertical="center"/>
    </xf>
    <xf numFmtId="43" fontId="2" fillId="0" borderId="0" xfId="10" applyFont="1" applyAlignment="1">
      <alignment horizontal="center"/>
    </xf>
    <xf numFmtId="0" fontId="2" fillId="0" borderId="0" xfId="54" applyFont="1" applyAlignment="1">
      <alignment horizontal="center" vertical="center"/>
    </xf>
    <xf numFmtId="0" fontId="5" fillId="0" borderId="0" xfId="54" applyAlignment="1">
      <alignment horizontal="center" vertical="center"/>
    </xf>
    <xf numFmtId="166" fontId="5" fillId="0" borderId="0" xfId="10" applyNumberFormat="1"/>
    <xf numFmtId="166" fontId="2" fillId="0" borderId="0" xfId="54" applyNumberFormat="1" applyFont="1"/>
    <xf numFmtId="9" fontId="2" fillId="0" borderId="0" xfId="14" applyFont="1"/>
    <xf numFmtId="166" fontId="2" fillId="0" borderId="0" xfId="54" applyNumberFormat="1" applyFont="1" applyAlignment="1">
      <alignment horizontal="center" vertical="center"/>
    </xf>
    <xf numFmtId="43" fontId="2" fillId="0" borderId="0" xfId="54" applyNumberFormat="1" applyFont="1"/>
    <xf numFmtId="0" fontId="51" fillId="0" borderId="0" xfId="54" applyFont="1"/>
    <xf numFmtId="0" fontId="51" fillId="0" borderId="0" xfId="54" applyFont="1" applyAlignment="1">
      <alignment horizontal="center" vertical="center"/>
    </xf>
    <xf numFmtId="166" fontId="51" fillId="0" borderId="0" xfId="10" applyNumberFormat="1" applyFont="1"/>
    <xf numFmtId="166" fontId="84" fillId="0" borderId="0" xfId="10" applyNumberFormat="1" applyFont="1"/>
    <xf numFmtId="0" fontId="78" fillId="0" borderId="0" xfId="54" applyFont="1" applyAlignment="1">
      <alignment horizontal="center"/>
    </xf>
    <xf numFmtId="0" fontId="78" fillId="0" borderId="0" xfId="54" applyFont="1" applyAlignment="1">
      <alignment horizontal="center" vertical="center"/>
    </xf>
    <xf numFmtId="166" fontId="2" fillId="0" borderId="0" xfId="10" applyNumberFormat="1" applyFont="1" applyBorder="1" applyAlignment="1">
      <alignment horizontal="center"/>
    </xf>
    <xf numFmtId="0" fontId="51" fillId="0" borderId="0" xfId="54" applyFont="1" applyAlignment="1">
      <alignment horizontal="center"/>
    </xf>
    <xf numFmtId="9" fontId="48" fillId="9" borderId="0" xfId="55" applyFont="1" applyFill="1" applyBorder="1" applyAlignment="1">
      <alignment horizontal="center"/>
    </xf>
    <xf numFmtId="9" fontId="2" fillId="0" borderId="0" xfId="55" applyFont="1" applyBorder="1" applyAlignment="1">
      <alignment horizontal="center"/>
    </xf>
    <xf numFmtId="9" fontId="2" fillId="0" borderId="0" xfId="55" applyFont="1" applyBorder="1" applyAlignment="1">
      <alignment horizontal="center" vertical="center"/>
    </xf>
    <xf numFmtId="0" fontId="17" fillId="0" borderId="11" xfId="54" applyFont="1" applyBorder="1"/>
    <xf numFmtId="0" fontId="79" fillId="0" borderId="11" xfId="54" applyFont="1" applyBorder="1" applyAlignment="1">
      <alignment horizontal="center"/>
    </xf>
    <xf numFmtId="0" fontId="51" fillId="0" borderId="11" xfId="54" applyFont="1" applyBorder="1" applyAlignment="1">
      <alignment horizontal="center"/>
    </xf>
    <xf numFmtId="9" fontId="17" fillId="0" borderId="11" xfId="55" applyFont="1" applyBorder="1" applyAlignment="1">
      <alignment horizontal="center"/>
    </xf>
    <xf numFmtId="9" fontId="17" fillId="0" borderId="11" xfId="55" applyFont="1" applyBorder="1" applyAlignment="1">
      <alignment horizontal="center" vertical="center"/>
    </xf>
    <xf numFmtId="0" fontId="2" fillId="0" borderId="39" xfId="0" applyFont="1" applyBorder="1" applyAlignment="1">
      <alignment horizontal="left"/>
    </xf>
    <xf numFmtId="0" fontId="2" fillId="0" borderId="39" xfId="0" applyFont="1" applyBorder="1"/>
    <xf numFmtId="0" fontId="2" fillId="0" borderId="3" xfId="0" applyFont="1" applyBorder="1"/>
    <xf numFmtId="0" fontId="77" fillId="0" borderId="60" xfId="554" applyFont="1" applyBorder="1" applyAlignment="1">
      <alignment horizontal="center"/>
    </xf>
    <xf numFmtId="0" fontId="17" fillId="0" borderId="0" xfId="54" applyFont="1"/>
    <xf numFmtId="0" fontId="79" fillId="0" borderId="0" xfId="54" applyFont="1" applyAlignment="1">
      <alignment horizontal="center"/>
    </xf>
    <xf numFmtId="166" fontId="17" fillId="0" borderId="0" xfId="10" applyNumberFormat="1" applyFont="1" applyBorder="1" applyAlignment="1">
      <alignment horizontal="center"/>
    </xf>
    <xf numFmtId="0" fontId="17" fillId="0" borderId="39" xfId="54" applyFont="1" applyBorder="1"/>
    <xf numFmtId="0" fontId="4" fillId="0" borderId="17" xfId="54" applyFont="1" applyBorder="1"/>
    <xf numFmtId="0" fontId="4" fillId="0" borderId="16" xfId="54" applyFont="1" applyBorder="1"/>
    <xf numFmtId="0" fontId="86" fillId="0" borderId="0" xfId="54" applyFont="1"/>
    <xf numFmtId="180" fontId="11" fillId="9" borderId="0" xfId="554" applyNumberFormat="1" applyFont="1" applyFill="1" applyAlignment="1">
      <alignment horizontal="center"/>
    </xf>
    <xf numFmtId="180" fontId="2" fillId="0" borderId="0" xfId="54" applyNumberFormat="1" applyFont="1" applyAlignment="1">
      <alignment horizontal="center"/>
    </xf>
    <xf numFmtId="9" fontId="71" fillId="0" borderId="0" xfId="55" applyFont="1" applyBorder="1" applyAlignment="1">
      <alignment horizontal="center"/>
    </xf>
    <xf numFmtId="9" fontId="4" fillId="0" borderId="0" xfId="55" applyFont="1" applyBorder="1" applyAlignment="1">
      <alignment horizontal="center"/>
    </xf>
    <xf numFmtId="0" fontId="4" fillId="0" borderId="0" xfId="55" applyNumberFormat="1" applyFont="1" applyBorder="1" applyAlignment="1">
      <alignment horizontal="center"/>
    </xf>
    <xf numFmtId="166" fontId="45" fillId="5" borderId="40" xfId="9" applyNumberFormat="1" applyFont="1" applyFill="1" applyBorder="1"/>
    <xf numFmtId="0" fontId="13" fillId="0" borderId="67" xfId="0" applyFont="1" applyBorder="1"/>
    <xf numFmtId="0" fontId="11" fillId="0" borderId="67" xfId="0" applyFont="1" applyBorder="1"/>
    <xf numFmtId="0" fontId="11" fillId="0" borderId="68" xfId="0" applyFont="1" applyBorder="1"/>
    <xf numFmtId="0" fontId="13" fillId="0" borderId="64" xfId="0" applyFont="1" applyBorder="1"/>
    <xf numFmtId="0" fontId="13" fillId="0" borderId="60" xfId="0" applyFont="1" applyBorder="1"/>
    <xf numFmtId="0" fontId="13" fillId="0" borderId="62" xfId="0" applyFont="1" applyBorder="1"/>
    <xf numFmtId="0" fontId="15" fillId="2" borderId="60" xfId="0" applyFont="1" applyFill="1" applyBorder="1"/>
    <xf numFmtId="0" fontId="15" fillId="2" borderId="60" xfId="0" applyFont="1" applyFill="1" applyBorder="1" applyAlignment="1">
      <alignment horizontal="center" vertical="top"/>
    </xf>
    <xf numFmtId="0" fontId="15" fillId="2" borderId="62" xfId="0" applyFont="1" applyFill="1" applyBorder="1" applyAlignment="1">
      <alignment vertical="center"/>
    </xf>
    <xf numFmtId="0" fontId="15" fillId="0" borderId="67" xfId="0" applyFont="1" applyBorder="1" applyAlignment="1">
      <alignment horizontal="left"/>
    </xf>
    <xf numFmtId="0" fontId="13" fillId="0" borderId="66" xfId="0" applyFont="1" applyBorder="1"/>
    <xf numFmtId="0" fontId="11" fillId="0" borderId="62" xfId="0" applyFont="1" applyBorder="1"/>
    <xf numFmtId="0" fontId="12" fillId="0" borderId="60" xfId="0" applyFont="1" applyBorder="1"/>
    <xf numFmtId="0" fontId="11" fillId="0" borderId="64" xfId="0" applyFont="1" applyBorder="1"/>
    <xf numFmtId="169" fontId="11" fillId="0" borderId="60" xfId="0" applyNumberFormat="1" applyFont="1" applyBorder="1"/>
    <xf numFmtId="0" fontId="13" fillId="0" borderId="68" xfId="0" applyFont="1" applyBorder="1"/>
    <xf numFmtId="10" fontId="11" fillId="9" borderId="63" xfId="2" applyNumberFormat="1" applyFont="1" applyFill="1" applyBorder="1" applyAlignment="1">
      <alignment horizontal="center"/>
    </xf>
    <xf numFmtId="164" fontId="11" fillId="5" borderId="60" xfId="1" applyNumberFormat="1" applyFont="1" applyFill="1" applyBorder="1" applyAlignment="1">
      <alignment horizontal="right"/>
    </xf>
    <xf numFmtId="9" fontId="11" fillId="0" borderId="63" xfId="2" applyFont="1" applyBorder="1" applyAlignment="1">
      <alignment horizontal="center"/>
    </xf>
    <xf numFmtId="0" fontId="16" fillId="0" borderId="60" xfId="0" applyFont="1" applyBorder="1"/>
    <xf numFmtId="0" fontId="10" fillId="0" borderId="67" xfId="0" applyFont="1" applyBorder="1"/>
    <xf numFmtId="0" fontId="9" fillId="0" borderId="66" xfId="0" applyFont="1" applyBorder="1" applyAlignment="1">
      <alignment horizontal="left" vertical="top"/>
    </xf>
    <xf numFmtId="164" fontId="8" fillId="0" borderId="68" xfId="1" applyNumberFormat="1" applyFont="1" applyBorder="1"/>
    <xf numFmtId="0" fontId="11" fillId="0" borderId="67" xfId="0" applyFont="1" applyBorder="1" applyAlignment="1">
      <alignment horizontal="center"/>
    </xf>
    <xf numFmtId="0" fontId="11" fillId="0" borderId="60" xfId="0" applyFont="1" applyBorder="1" applyAlignment="1">
      <alignment horizontal="center"/>
    </xf>
    <xf numFmtId="37" fontId="48" fillId="0" borderId="11" xfId="55" applyNumberFormat="1" applyFont="1" applyFill="1" applyBorder="1" applyAlignment="1">
      <alignment horizontal="center"/>
    </xf>
    <xf numFmtId="9" fontId="80" fillId="0" borderId="0" xfId="55" applyFont="1" applyBorder="1" applyAlignment="1">
      <alignment horizontal="center"/>
    </xf>
    <xf numFmtId="9" fontId="48" fillId="0" borderId="0" xfId="55" applyFont="1" applyBorder="1" applyAlignment="1">
      <alignment horizontal="center"/>
    </xf>
    <xf numFmtId="0" fontId="4" fillId="0" borderId="0" xfId="54" applyFont="1"/>
    <xf numFmtId="0" fontId="6" fillId="0" borderId="0" xfId="54" applyFont="1" applyAlignment="1">
      <alignment horizontal="center"/>
    </xf>
    <xf numFmtId="166" fontId="5" fillId="0" borderId="0" xfId="54" applyNumberFormat="1"/>
    <xf numFmtId="166" fontId="5" fillId="0" borderId="0" xfId="54" applyNumberFormat="1" applyAlignment="1">
      <alignment horizontal="center" vertical="center"/>
    </xf>
    <xf numFmtId="166" fontId="5" fillId="0" borderId="0" xfId="10" applyNumberFormat="1" applyBorder="1"/>
    <xf numFmtId="43" fontId="5" fillId="0" borderId="0" xfId="54" applyNumberFormat="1"/>
    <xf numFmtId="0" fontId="5" fillId="0" borderId="39" xfId="54" applyBorder="1"/>
    <xf numFmtId="49" fontId="11" fillId="0" borderId="0" xfId="0" applyNumberFormat="1" applyFont="1"/>
    <xf numFmtId="22" fontId="12" fillId="0" borderId="0" xfId="0" applyNumberFormat="1" applyFont="1"/>
    <xf numFmtId="166" fontId="16" fillId="0" borderId="0" xfId="0" applyNumberFormat="1" applyFont="1" applyAlignment="1">
      <alignment horizontal="right"/>
    </xf>
    <xf numFmtId="9" fontId="16" fillId="0" borderId="0" xfId="0" applyNumberFormat="1" applyFont="1" applyAlignment="1">
      <alignment horizontal="right"/>
    </xf>
    <xf numFmtId="9" fontId="29" fillId="0" borderId="0" xfId="0" applyNumberFormat="1" applyFont="1" applyAlignment="1">
      <alignment horizontal="right"/>
    </xf>
    <xf numFmtId="0" fontId="29" fillId="0" borderId="0" xfId="0" applyFont="1"/>
    <xf numFmtId="165" fontId="11" fillId="0" borderId="0" xfId="2" applyNumberFormat="1" applyFont="1" applyFill="1" applyBorder="1" applyAlignment="1">
      <alignment horizontal="center"/>
    </xf>
    <xf numFmtId="166" fontId="2" fillId="29" borderId="0" xfId="56" applyNumberFormat="1" applyFont="1" applyFill="1"/>
    <xf numFmtId="165" fontId="11" fillId="9" borderId="75" xfId="2" applyNumberFormat="1" applyFont="1" applyFill="1" applyBorder="1" applyAlignment="1">
      <alignment horizontal="center"/>
    </xf>
    <xf numFmtId="43" fontId="72" fillId="0" borderId="39" xfId="54" applyNumberFormat="1" applyFont="1" applyBorder="1"/>
    <xf numFmtId="166" fontId="2" fillId="0" borderId="39" xfId="56" applyNumberFormat="1" applyFont="1" applyBorder="1"/>
    <xf numFmtId="0" fontId="12" fillId="0" borderId="84" xfId="0" applyFont="1" applyBorder="1"/>
    <xf numFmtId="0" fontId="11" fillId="0" borderId="85" xfId="0" applyFont="1" applyBorder="1"/>
    <xf numFmtId="0" fontId="11" fillId="0" borderId="86" xfId="0" applyFont="1" applyBorder="1"/>
    <xf numFmtId="0" fontId="11" fillId="0" borderId="86" xfId="0" applyFont="1" applyBorder="1" applyAlignment="1">
      <alignment horizontal="center"/>
    </xf>
    <xf numFmtId="3" fontId="11" fillId="9" borderId="7" xfId="5" applyNumberFormat="1" applyFont="1" applyFill="1" applyBorder="1" applyAlignment="1">
      <alignment horizontal="center"/>
    </xf>
    <xf numFmtId="10" fontId="11" fillId="0" borderId="63" xfId="2" applyNumberFormat="1" applyFont="1" applyBorder="1" applyAlignment="1">
      <alignment horizontal="center"/>
    </xf>
    <xf numFmtId="0" fontId="4" fillId="4" borderId="24" xfId="0" applyFont="1" applyFill="1" applyBorder="1"/>
    <xf numFmtId="0" fontId="4" fillId="4" borderId="25" xfId="0" applyFont="1" applyFill="1" applyBorder="1"/>
    <xf numFmtId="0" fontId="4" fillId="4" borderId="25" xfId="0" applyFont="1" applyFill="1" applyBorder="1" applyAlignment="1">
      <alignment horizontal="center"/>
    </xf>
    <xf numFmtId="164" fontId="4" fillId="4" borderId="25" xfId="1" applyNumberFormat="1" applyFont="1" applyFill="1" applyBorder="1"/>
    <xf numFmtId="10" fontId="11" fillId="0" borderId="0" xfId="2" applyNumberFormat="1" applyFont="1" applyBorder="1" applyAlignment="1">
      <alignment horizontal="center"/>
    </xf>
    <xf numFmtId="9" fontId="11" fillId="0" borderId="0" xfId="2" applyFont="1" applyBorder="1" applyAlignment="1">
      <alignment horizontal="center"/>
    </xf>
    <xf numFmtId="0" fontId="33" fillId="31" borderId="0" xfId="0" applyFont="1" applyFill="1" applyAlignment="1">
      <alignment horizontal="center"/>
    </xf>
    <xf numFmtId="0" fontId="11" fillId="0" borderId="34" xfId="0" applyFont="1" applyBorder="1"/>
    <xf numFmtId="0" fontId="11" fillId="0" borderId="34" xfId="0" applyFont="1" applyBorder="1" applyAlignment="1">
      <alignment horizontal="center"/>
    </xf>
    <xf numFmtId="37" fontId="11" fillId="9" borderId="7" xfId="5" applyNumberFormat="1" applyFont="1" applyFill="1" applyBorder="1" applyAlignment="1">
      <alignment horizontal="center" vertical="top"/>
    </xf>
    <xf numFmtId="37" fontId="11" fillId="0" borderId="29" xfId="0" applyNumberFormat="1" applyFont="1" applyBorder="1" applyAlignment="1">
      <alignment horizontal="center"/>
    </xf>
    <xf numFmtId="166" fontId="11" fillId="0" borderId="67" xfId="5" applyNumberFormat="1" applyFont="1" applyFill="1" applyBorder="1"/>
    <xf numFmtId="37" fontId="11" fillId="9" borderId="29" xfId="0" applyNumberFormat="1" applyFont="1" applyFill="1" applyBorder="1" applyAlignment="1">
      <alignment horizontal="center"/>
    </xf>
    <xf numFmtId="37" fontId="11" fillId="9" borderId="7" xfId="0" applyNumberFormat="1" applyFont="1" applyFill="1" applyBorder="1" applyAlignment="1">
      <alignment horizontal="center"/>
    </xf>
    <xf numFmtId="0" fontId="12" fillId="0" borderId="49" xfId="54" applyFont="1" applyBorder="1"/>
    <xf numFmtId="0" fontId="11" fillId="0" borderId="70" xfId="54" applyFont="1" applyBorder="1" applyAlignment="1">
      <alignment horizontal="left" vertical="center" indent="3"/>
    </xf>
    <xf numFmtId="0" fontId="12" fillId="0" borderId="70" xfId="54" applyFont="1" applyBorder="1" applyAlignment="1">
      <alignment horizontal="left" vertical="center"/>
    </xf>
    <xf numFmtId="0" fontId="4" fillId="29" borderId="43" xfId="54" applyFont="1" applyFill="1" applyBorder="1" applyAlignment="1">
      <alignment horizontal="center"/>
    </xf>
    <xf numFmtId="43" fontId="4" fillId="29" borderId="43" xfId="56" applyFont="1" applyFill="1" applyBorder="1" applyAlignment="1">
      <alignment horizontal="center"/>
    </xf>
    <xf numFmtId="0" fontId="12" fillId="0" borderId="70" xfId="54" applyFont="1" applyBorder="1" applyAlignment="1">
      <alignment horizontal="left" vertical="center" indent="2"/>
    </xf>
    <xf numFmtId="0" fontId="4" fillId="29" borderId="11" xfId="54" applyFont="1" applyFill="1" applyBorder="1" applyAlignment="1">
      <alignment vertical="top" wrapText="1"/>
    </xf>
    <xf numFmtId="0" fontId="2" fillId="0" borderId="0" xfId="54" applyFont="1" applyAlignment="1">
      <alignment horizontal="right"/>
    </xf>
    <xf numFmtId="0" fontId="0" fillId="0" borderId="0" xfId="0" applyAlignment="1">
      <alignment horizontal="center"/>
    </xf>
    <xf numFmtId="0" fontId="16" fillId="12" borderId="0" xfId="0" applyFont="1" applyFill="1" applyAlignment="1">
      <alignment horizontal="center"/>
    </xf>
    <xf numFmtId="0" fontId="16" fillId="12" borderId="40" xfId="0" applyFont="1" applyFill="1" applyBorder="1" applyAlignment="1">
      <alignment horizontal="center"/>
    </xf>
    <xf numFmtId="0" fontId="78" fillId="0" borderId="0" xfId="54" applyFont="1" applyAlignment="1">
      <alignment horizontal="right"/>
    </xf>
    <xf numFmtId="10" fontId="5" fillId="0" borderId="0" xfId="14" applyNumberFormat="1" applyFill="1" applyAlignment="1">
      <alignment horizontal="center"/>
    </xf>
    <xf numFmtId="0" fontId="5" fillId="0" borderId="0" xfId="54" applyAlignment="1">
      <alignment horizontal="center"/>
    </xf>
    <xf numFmtId="10" fontId="5" fillId="0" borderId="0" xfId="14" applyNumberFormat="1" applyAlignment="1">
      <alignment horizontal="center"/>
    </xf>
    <xf numFmtId="10" fontId="81" fillId="0" borderId="0" xfId="14" applyNumberFormat="1" applyFont="1" applyAlignment="1">
      <alignment horizontal="center"/>
    </xf>
    <xf numFmtId="0" fontId="81" fillId="0" borderId="0" xfId="54" applyFont="1" applyAlignment="1">
      <alignment horizontal="center"/>
    </xf>
    <xf numFmtId="0" fontId="2" fillId="0" borderId="0" xfId="54" applyFont="1" applyAlignment="1">
      <alignment horizontal="center"/>
    </xf>
    <xf numFmtId="166" fontId="2" fillId="0" borderId="0" xfId="54" applyNumberFormat="1" applyFont="1" applyAlignment="1">
      <alignment horizontal="center"/>
    </xf>
    <xf numFmtId="10" fontId="2" fillId="0" borderId="0" xfId="14" applyNumberFormat="1" applyFont="1" applyAlignment="1">
      <alignment horizontal="center"/>
    </xf>
    <xf numFmtId="10" fontId="51" fillId="0" borderId="0" xfId="14" applyNumberFormat="1" applyFont="1" applyAlignment="1">
      <alignment horizontal="center"/>
    </xf>
    <xf numFmtId="0" fontId="2" fillId="0" borderId="0" xfId="54" applyFont="1" applyAlignment="1">
      <alignment horizontal="left"/>
    </xf>
    <xf numFmtId="9" fontId="2" fillId="9" borderId="0" xfId="2" applyFont="1" applyFill="1" applyBorder="1" applyAlignment="1">
      <alignment horizontal="center"/>
    </xf>
    <xf numFmtId="14" fontId="5" fillId="0" borderId="16" xfId="54" applyNumberFormat="1" applyBorder="1"/>
    <xf numFmtId="10" fontId="5" fillId="0" borderId="16" xfId="14" applyNumberFormat="1" applyFill="1" applyBorder="1" applyAlignment="1">
      <alignment horizontal="center"/>
    </xf>
    <xf numFmtId="0" fontId="5" fillId="0" borderId="16" xfId="54" applyBorder="1" applyAlignment="1">
      <alignment horizontal="center"/>
    </xf>
    <xf numFmtId="0" fontId="5" fillId="0" borderId="16" xfId="54" applyBorder="1"/>
    <xf numFmtId="0" fontId="5" fillId="0" borderId="18" xfId="54" applyBorder="1"/>
    <xf numFmtId="0" fontId="2" fillId="0" borderId="40" xfId="54" applyFont="1" applyBorder="1"/>
    <xf numFmtId="0" fontId="4" fillId="0" borderId="39" xfId="54" applyFont="1" applyBorder="1"/>
    <xf numFmtId="0" fontId="2" fillId="0" borderId="41" xfId="54" applyFont="1" applyBorder="1"/>
    <xf numFmtId="0" fontId="2" fillId="0" borderId="11" xfId="54" applyFont="1" applyBorder="1"/>
    <xf numFmtId="0" fontId="2" fillId="0" borderId="11" xfId="54" applyFont="1" applyBorder="1" applyAlignment="1">
      <alignment horizontal="center"/>
    </xf>
    <xf numFmtId="0" fontId="2" fillId="0" borderId="42" xfId="54" applyFont="1" applyBorder="1"/>
    <xf numFmtId="0" fontId="87" fillId="0" borderId="0" xfId="0" applyFont="1"/>
    <xf numFmtId="0" fontId="88" fillId="0" borderId="0" xfId="0" applyFont="1"/>
    <xf numFmtId="0" fontId="42" fillId="0" borderId="60" xfId="0" applyFont="1" applyBorder="1"/>
    <xf numFmtId="0" fontId="42" fillId="0" borderId="60" xfId="0" applyFont="1" applyBorder="1" applyAlignment="1">
      <alignment horizontal="center"/>
    </xf>
    <xf numFmtId="181" fontId="88" fillId="0" borderId="0" xfId="0" applyNumberFormat="1" applyFont="1"/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right"/>
    </xf>
    <xf numFmtId="10" fontId="2" fillId="0" borderId="0" xfId="54" applyNumberFormat="1" applyFont="1" applyAlignment="1">
      <alignment horizontal="center"/>
    </xf>
    <xf numFmtId="180" fontId="2" fillId="0" borderId="39" xfId="54" applyNumberFormat="1" applyFont="1" applyBorder="1" applyAlignment="1">
      <alignment horizontal="center"/>
    </xf>
    <xf numFmtId="9" fontId="2" fillId="0" borderId="39" xfId="2" applyFont="1" applyBorder="1" applyAlignment="1">
      <alignment horizontal="center"/>
    </xf>
    <xf numFmtId="9" fontId="2" fillId="0" borderId="0" xfId="2" applyFont="1" applyAlignment="1">
      <alignment horizontal="center"/>
    </xf>
    <xf numFmtId="0" fontId="2" fillId="0" borderId="60" xfId="54" applyFont="1" applyBorder="1"/>
    <xf numFmtId="37" fontId="11" fillId="0" borderId="67" xfId="0" applyNumberFormat="1" applyFont="1" applyBorder="1" applyAlignment="1">
      <alignment horizontal="center"/>
    </xf>
    <xf numFmtId="37" fontId="11" fillId="9" borderId="0" xfId="5" applyNumberFormat="1" applyFont="1" applyFill="1" applyBorder="1" applyAlignment="1">
      <alignment horizontal="center"/>
    </xf>
    <xf numFmtId="37" fontId="11" fillId="0" borderId="0" xfId="5" applyNumberFormat="1" applyFont="1" applyFill="1" applyBorder="1" applyAlignment="1">
      <alignment horizontal="center"/>
    </xf>
    <xf numFmtId="37" fontId="11" fillId="0" borderId="0" xfId="0" applyNumberFormat="1" applyFont="1" applyAlignment="1">
      <alignment horizontal="center"/>
    </xf>
    <xf numFmtId="37" fontId="11" fillId="9" borderId="0" xfId="0" applyNumberFormat="1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10" fontId="11" fillId="9" borderId="0" xfId="2" applyNumberFormat="1" applyFont="1" applyFill="1" applyBorder="1" applyAlignment="1">
      <alignment horizontal="center"/>
    </xf>
    <xf numFmtId="9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37" fontId="11" fillId="0" borderId="6" xfId="5" applyNumberFormat="1" applyFont="1" applyFill="1" applyBorder="1" applyAlignment="1">
      <alignment horizontal="center"/>
    </xf>
    <xf numFmtId="37" fontId="11" fillId="0" borderId="60" xfId="5" applyNumberFormat="1" applyFont="1" applyFill="1" applyBorder="1" applyAlignment="1">
      <alignment horizontal="center"/>
    </xf>
    <xf numFmtId="37" fontId="11" fillId="0" borderId="62" xfId="5" applyNumberFormat="1" applyFont="1" applyFill="1" applyBorder="1" applyAlignment="1">
      <alignment horizontal="center"/>
    </xf>
    <xf numFmtId="37" fontId="11" fillId="0" borderId="15" xfId="0" applyNumberFormat="1" applyFont="1" applyBorder="1" applyAlignment="1">
      <alignment horizontal="center"/>
    </xf>
    <xf numFmtId="37" fontId="11" fillId="0" borderId="5" xfId="0" applyNumberFormat="1" applyFont="1" applyBorder="1" applyAlignment="1">
      <alignment horizontal="center"/>
    </xf>
    <xf numFmtId="37" fontId="11" fillId="0" borderId="63" xfId="0" applyNumberFormat="1" applyFont="1" applyBorder="1" applyAlignment="1">
      <alignment horizontal="center"/>
    </xf>
    <xf numFmtId="9" fontId="11" fillId="0" borderId="0" xfId="2" applyFont="1" applyAlignment="1">
      <alignment horizontal="center"/>
    </xf>
    <xf numFmtId="9" fontId="11" fillId="9" borderId="13" xfId="2" applyFont="1" applyFill="1" applyBorder="1" applyAlignment="1">
      <alignment horizontal="center"/>
    </xf>
    <xf numFmtId="9" fontId="11" fillId="0" borderId="13" xfId="2" applyFont="1" applyBorder="1" applyAlignment="1">
      <alignment horizontal="center"/>
    </xf>
    <xf numFmtId="37" fontId="11" fillId="0" borderId="0" xfId="5" applyNumberFormat="1" applyFont="1" applyBorder="1" applyAlignment="1">
      <alignment horizontal="center"/>
    </xf>
    <xf numFmtId="37" fontId="11" fillId="0" borderId="40" xfId="5" applyNumberFormat="1" applyFont="1" applyFill="1" applyBorder="1" applyAlignment="1">
      <alignment horizontal="center"/>
    </xf>
    <xf numFmtId="37" fontId="11" fillId="0" borderId="60" xfId="5" applyNumberFormat="1" applyFont="1" applyBorder="1" applyAlignment="1">
      <alignment horizontal="center"/>
    </xf>
    <xf numFmtId="37" fontId="11" fillId="0" borderId="61" xfId="5" applyNumberFormat="1" applyFont="1" applyBorder="1" applyAlignment="1">
      <alignment horizontal="center"/>
    </xf>
    <xf numFmtId="37" fontId="11" fillId="0" borderId="71" xfId="5" applyNumberFormat="1" applyFont="1" applyBorder="1" applyAlignment="1">
      <alignment horizontal="center"/>
    </xf>
    <xf numFmtId="10" fontId="11" fillId="9" borderId="60" xfId="2" applyNumberFormat="1" applyFont="1" applyFill="1" applyBorder="1" applyAlignment="1">
      <alignment horizontal="center"/>
    </xf>
    <xf numFmtId="10" fontId="11" fillId="9" borderId="40" xfId="2" applyNumberFormat="1" applyFont="1" applyFill="1" applyBorder="1" applyAlignment="1">
      <alignment horizontal="center"/>
    </xf>
    <xf numFmtId="43" fontId="11" fillId="0" borderId="0" xfId="5" applyFont="1" applyFill="1" applyBorder="1" applyAlignment="1">
      <alignment horizontal="center"/>
    </xf>
    <xf numFmtId="39" fontId="11" fillId="9" borderId="0" xfId="5" applyNumberFormat="1" applyFont="1" applyFill="1" applyBorder="1" applyAlignment="1">
      <alignment horizontal="center"/>
    </xf>
    <xf numFmtId="9" fontId="11" fillId="0" borderId="40" xfId="0" applyNumberFormat="1" applyFont="1" applyBorder="1" applyAlignment="1">
      <alignment horizontal="center"/>
    </xf>
    <xf numFmtId="0" fontId="22" fillId="0" borderId="0" xfId="6"/>
    <xf numFmtId="0" fontId="4" fillId="0" borderId="28" xfId="0" applyFont="1" applyBorder="1"/>
    <xf numFmtId="0" fontId="2" fillId="0" borderId="19" xfId="0" applyFont="1" applyBorder="1"/>
    <xf numFmtId="0" fontId="2" fillId="0" borderId="67" xfId="0" applyFont="1" applyBorder="1"/>
    <xf numFmtId="0" fontId="4" fillId="0" borderId="30" xfId="0" applyFont="1" applyBorder="1"/>
    <xf numFmtId="0" fontId="4" fillId="0" borderId="8" xfId="0" applyFont="1" applyBorder="1"/>
    <xf numFmtId="3" fontId="11" fillId="0" borderId="6" xfId="5" applyNumberFormat="1" applyFont="1" applyBorder="1" applyAlignment="1">
      <alignment horizontal="center"/>
    </xf>
    <xf numFmtId="3" fontId="12" fillId="0" borderId="60" xfId="5" applyNumberFormat="1" applyFont="1" applyFill="1" applyBorder="1" applyAlignment="1">
      <alignment horizontal="center"/>
    </xf>
    <xf numFmtId="3" fontId="13" fillId="0" borderId="0" xfId="5" applyNumberFormat="1" applyFont="1" applyBorder="1" applyAlignment="1">
      <alignment horizontal="center"/>
    </xf>
    <xf numFmtId="3" fontId="11" fillId="0" borderId="0" xfId="5" applyNumberFormat="1" applyFont="1" applyBorder="1" applyAlignment="1">
      <alignment horizontal="center"/>
    </xf>
    <xf numFmtId="3" fontId="2" fillId="0" borderId="0" xfId="5" applyNumberFormat="1" applyFont="1" applyFill="1" applyBorder="1" applyAlignment="1">
      <alignment horizontal="center"/>
    </xf>
    <xf numFmtId="3" fontId="2" fillId="0" borderId="60" xfId="5" applyNumberFormat="1" applyFont="1" applyFill="1" applyBorder="1" applyAlignment="1">
      <alignment horizontal="center"/>
    </xf>
    <xf numFmtId="3" fontId="13" fillId="0" borderId="0" xfId="5" applyNumberFormat="1" applyFont="1" applyFill="1" applyBorder="1" applyAlignment="1">
      <alignment horizontal="center"/>
    </xf>
    <xf numFmtId="3" fontId="13" fillId="0" borderId="6" xfId="5" applyNumberFormat="1" applyFont="1" applyFill="1" applyBorder="1" applyAlignment="1">
      <alignment horizontal="center"/>
    </xf>
    <xf numFmtId="3" fontId="13" fillId="0" borderId="19" xfId="5" applyNumberFormat="1" applyFont="1" applyFill="1" applyBorder="1" applyAlignment="1">
      <alignment horizontal="center"/>
    </xf>
    <xf numFmtId="3" fontId="13" fillId="0" borderId="62" xfId="5" applyNumberFormat="1" applyFont="1" applyFill="1" applyBorder="1" applyAlignment="1">
      <alignment horizontal="center"/>
    </xf>
    <xf numFmtId="3" fontId="15" fillId="0" borderId="0" xfId="5" applyNumberFormat="1" applyFont="1" applyBorder="1" applyAlignment="1">
      <alignment horizontal="center"/>
    </xf>
    <xf numFmtId="3" fontId="15" fillId="0" borderId="6" xfId="5" applyNumberFormat="1" applyFont="1" applyBorder="1" applyAlignment="1">
      <alignment horizontal="center"/>
    </xf>
    <xf numFmtId="3" fontId="13" fillId="0" borderId="60" xfId="0" applyNumberFormat="1" applyFont="1" applyBorder="1" applyAlignment="1">
      <alignment horizontal="center"/>
    </xf>
    <xf numFmtId="3" fontId="13" fillId="0" borderId="62" xfId="0" applyNumberFormat="1" applyFont="1" applyBorder="1" applyAlignment="1">
      <alignment horizontal="center"/>
    </xf>
    <xf numFmtId="10" fontId="11" fillId="0" borderId="6" xfId="2" applyNumberFormat="1" applyFont="1" applyBorder="1" applyAlignment="1">
      <alignment horizontal="center"/>
    </xf>
    <xf numFmtId="9" fontId="11" fillId="0" borderId="6" xfId="2" applyFont="1" applyBorder="1" applyAlignment="1">
      <alignment horizontal="center"/>
    </xf>
    <xf numFmtId="10" fontId="11" fillId="0" borderId="62" xfId="2" applyNumberFormat="1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9" fontId="13" fillId="0" borderId="6" xfId="2" applyFont="1" applyBorder="1" applyAlignment="1">
      <alignment horizontal="center"/>
    </xf>
    <xf numFmtId="9" fontId="12" fillId="0" borderId="62" xfId="2" applyFont="1" applyBorder="1" applyAlignment="1">
      <alignment horizontal="center"/>
    </xf>
    <xf numFmtId="166" fontId="4" fillId="29" borderId="22" xfId="5" applyNumberFormat="1" applyFont="1" applyFill="1" applyBorder="1" applyAlignment="1">
      <alignment horizontal="center"/>
    </xf>
    <xf numFmtId="0" fontId="11" fillId="0" borderId="9" xfId="0" applyFont="1" applyBorder="1" applyAlignment="1">
      <alignment horizontal="right"/>
    </xf>
    <xf numFmtId="37" fontId="11" fillId="9" borderId="9" xfId="0" applyNumberFormat="1" applyFont="1" applyFill="1" applyBorder="1" applyAlignment="1">
      <alignment horizontal="center"/>
    </xf>
    <xf numFmtId="37" fontId="11" fillId="9" borderId="1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6" xfId="0" applyFont="1" applyBorder="1"/>
    <xf numFmtId="0" fontId="12" fillId="0" borderId="9" xfId="0" applyFont="1" applyBorder="1" applyAlignment="1">
      <alignment horizontal="center"/>
    </xf>
    <xf numFmtId="0" fontId="12" fillId="0" borderId="67" xfId="0" applyFont="1" applyBorder="1"/>
    <xf numFmtId="0" fontId="12" fillId="0" borderId="68" xfId="0" applyFont="1" applyBorder="1"/>
    <xf numFmtId="3" fontId="11" fillId="0" borderId="0" xfId="0" applyNumberFormat="1" applyFont="1" applyAlignment="1">
      <alignment horizontal="center"/>
    </xf>
    <xf numFmtId="0" fontId="12" fillId="0" borderId="6" xfId="0" applyFont="1" applyBorder="1"/>
    <xf numFmtId="10" fontId="11" fillId="0" borderId="0" xfId="0" applyNumberFormat="1" applyFont="1" applyAlignment="1">
      <alignment horizontal="center"/>
    </xf>
    <xf numFmtId="0" fontId="12" fillId="0" borderId="64" xfId="0" applyFont="1" applyBorder="1"/>
    <xf numFmtId="0" fontId="12" fillId="0" borderId="60" xfId="0" applyFont="1" applyBorder="1" applyAlignment="1">
      <alignment horizontal="right"/>
    </xf>
    <xf numFmtId="3" fontId="12" fillId="0" borderId="60" xfId="0" applyNumberFormat="1" applyFont="1" applyBorder="1" applyAlignment="1">
      <alignment horizontal="center"/>
    </xf>
    <xf numFmtId="0" fontId="12" fillId="0" borderId="62" xfId="0" applyFont="1" applyBorder="1"/>
    <xf numFmtId="0" fontId="11" fillId="0" borderId="60" xfId="0" applyFont="1" applyBorder="1" applyAlignment="1">
      <alignment horizontal="right"/>
    </xf>
    <xf numFmtId="37" fontId="12" fillId="0" borderId="60" xfId="0" applyNumberFormat="1" applyFont="1" applyBorder="1" applyAlignment="1">
      <alignment horizontal="center"/>
    </xf>
    <xf numFmtId="9" fontId="11" fillId="0" borderId="40" xfId="2" applyFont="1" applyBorder="1" applyAlignment="1">
      <alignment horizontal="center"/>
    </xf>
    <xf numFmtId="37" fontId="11" fillId="0" borderId="40" xfId="0" applyNumberFormat="1" applyFont="1" applyBorder="1" applyAlignment="1">
      <alignment horizontal="center"/>
    </xf>
    <xf numFmtId="37" fontId="11" fillId="0" borderId="42" xfId="0" applyNumberFormat="1" applyFont="1" applyBorder="1" applyAlignment="1">
      <alignment horizontal="center"/>
    </xf>
    <xf numFmtId="37" fontId="11" fillId="0" borderId="11" xfId="0" applyNumberFormat="1" applyFont="1" applyBorder="1" applyAlignment="1">
      <alignment horizontal="center"/>
    </xf>
    <xf numFmtId="37" fontId="11" fillId="0" borderId="61" xfId="5" applyNumberFormat="1" applyFont="1" applyFill="1" applyBorder="1" applyAlignment="1">
      <alignment horizontal="center"/>
    </xf>
    <xf numFmtId="10" fontId="11" fillId="0" borderId="40" xfId="2" applyNumberFormat="1" applyFont="1" applyFill="1" applyBorder="1" applyAlignment="1">
      <alignment horizontal="center"/>
    </xf>
    <xf numFmtId="10" fontId="11" fillId="0" borderId="48" xfId="0" applyNumberFormat="1" applyFont="1" applyBorder="1" applyAlignment="1">
      <alignment horizontal="center"/>
    </xf>
    <xf numFmtId="10" fontId="11" fillId="0" borderId="61" xfId="2" applyNumberFormat="1" applyFont="1" applyFill="1" applyBorder="1" applyAlignment="1">
      <alignment horizontal="center"/>
    </xf>
    <xf numFmtId="9" fontId="11" fillId="0" borderId="61" xfId="2" applyFont="1" applyBorder="1" applyAlignment="1">
      <alignment horizontal="center"/>
    </xf>
    <xf numFmtId="37" fontId="11" fillId="0" borderId="40" xfId="5" applyNumberFormat="1" applyFont="1" applyBorder="1" applyAlignment="1">
      <alignment horizontal="center"/>
    </xf>
    <xf numFmtId="37" fontId="11" fillId="0" borderId="11" xfId="5" applyNumberFormat="1" applyFont="1" applyBorder="1" applyAlignment="1">
      <alignment horizontal="center"/>
    </xf>
    <xf numFmtId="37" fontId="11" fillId="0" borderId="42" xfId="5" applyNumberFormat="1" applyFont="1" applyBorder="1" applyAlignment="1">
      <alignment horizontal="center"/>
    </xf>
    <xf numFmtId="37" fontId="4" fillId="5" borderId="0" xfId="9" applyNumberFormat="1" applyFont="1" applyFill="1" applyBorder="1" applyAlignment="1">
      <alignment horizontal="center"/>
    </xf>
    <xf numFmtId="37" fontId="2" fillId="5" borderId="0" xfId="9" applyNumberFormat="1" applyFont="1" applyFill="1" applyBorder="1" applyAlignment="1">
      <alignment horizontal="center"/>
    </xf>
    <xf numFmtId="0" fontId="2" fillId="0" borderId="11" xfId="0" applyFont="1" applyBorder="1"/>
    <xf numFmtId="166" fontId="2" fillId="0" borderId="11" xfId="5" applyNumberFormat="1" applyFont="1" applyBorder="1"/>
    <xf numFmtId="37" fontId="2" fillId="0" borderId="0" xfId="0" applyNumberFormat="1" applyFont="1" applyAlignment="1">
      <alignment horizontal="center"/>
    </xf>
    <xf numFmtId="37" fontId="2" fillId="0" borderId="40" xfId="5" applyNumberFormat="1" applyFont="1" applyFill="1" applyBorder="1" applyAlignment="1">
      <alignment horizontal="center"/>
    </xf>
    <xf numFmtId="37" fontId="2" fillId="0" borderId="0" xfId="0" applyNumberFormat="1" applyFont="1" applyAlignment="1">
      <alignment horizontal="center" wrapText="1"/>
    </xf>
    <xf numFmtId="37" fontId="2" fillId="0" borderId="40" xfId="5" applyNumberFormat="1" applyFont="1" applyBorder="1" applyAlignment="1">
      <alignment horizontal="center"/>
    </xf>
    <xf numFmtId="37" fontId="2" fillId="0" borderId="60" xfId="0" applyNumberFormat="1" applyFont="1" applyBorder="1" applyAlignment="1">
      <alignment horizontal="center" wrapText="1"/>
    </xf>
    <xf numFmtId="37" fontId="2" fillId="0" borderId="61" xfId="5" applyNumberFormat="1" applyFont="1" applyBorder="1" applyAlignment="1">
      <alignment horizontal="center"/>
    </xf>
    <xf numFmtId="37" fontId="4" fillId="0" borderId="11" xfId="0" applyNumberFormat="1" applyFont="1" applyBorder="1" applyAlignment="1">
      <alignment horizontal="center"/>
    </xf>
    <xf numFmtId="37" fontId="4" fillId="0" borderId="42" xfId="5" applyNumberFormat="1" applyFont="1" applyBorder="1" applyAlignment="1">
      <alignment horizontal="center"/>
    </xf>
    <xf numFmtId="37" fontId="2" fillId="0" borderId="16" xfId="0" applyNumberFormat="1" applyFont="1" applyBorder="1" applyAlignment="1">
      <alignment horizontal="center"/>
    </xf>
    <xf numFmtId="37" fontId="2" fillId="0" borderId="60" xfId="0" applyNumberFormat="1" applyFont="1" applyBorder="1" applyAlignment="1">
      <alignment horizontal="center"/>
    </xf>
    <xf numFmtId="37" fontId="2" fillId="0" borderId="18" xfId="5" applyNumberFormat="1" applyFont="1" applyBorder="1" applyAlignment="1">
      <alignment horizontal="center"/>
    </xf>
    <xf numFmtId="37" fontId="11" fillId="0" borderId="0" xfId="5" applyNumberFormat="1" applyFont="1" applyFill="1" applyAlignment="1">
      <alignment horizontal="center"/>
    </xf>
    <xf numFmtId="37" fontId="11" fillId="0" borderId="6" xfId="5" applyNumberFormat="1" applyFont="1" applyBorder="1" applyAlignment="1">
      <alignment horizontal="center"/>
    </xf>
    <xf numFmtId="37" fontId="11" fillId="0" borderId="64" xfId="0" applyNumberFormat="1" applyFont="1" applyBorder="1" applyAlignment="1">
      <alignment horizontal="center"/>
    </xf>
    <xf numFmtId="37" fontId="11" fillId="0" borderId="14" xfId="0" applyNumberFormat="1" applyFont="1" applyBorder="1" applyAlignment="1">
      <alignment horizontal="center"/>
    </xf>
    <xf numFmtId="0" fontId="11" fillId="0" borderId="0" xfId="554" applyFont="1"/>
    <xf numFmtId="0" fontId="11" fillId="9" borderId="0" xfId="554" applyFont="1" applyFill="1" applyAlignment="1">
      <alignment horizontal="center"/>
    </xf>
    <xf numFmtId="0" fontId="11" fillId="0" borderId="0" xfId="554" applyFont="1" applyAlignment="1">
      <alignment horizontal="center"/>
    </xf>
    <xf numFmtId="1" fontId="11" fillId="0" borderId="0" xfId="554" applyNumberFormat="1" applyFont="1" applyAlignment="1">
      <alignment horizontal="center"/>
    </xf>
    <xf numFmtId="0" fontId="12" fillId="11" borderId="67" xfId="554" applyFont="1" applyFill="1" applyBorder="1" applyAlignment="1">
      <alignment horizontal="center"/>
    </xf>
    <xf numFmtId="181" fontId="2" fillId="0" borderId="0" xfId="554" applyNumberFormat="1" applyFont="1" applyAlignment="1">
      <alignment horizontal="center"/>
    </xf>
    <xf numFmtId="37" fontId="11" fillId="0" borderId="0" xfId="554" applyNumberFormat="1" applyFont="1" applyAlignment="1">
      <alignment horizontal="center"/>
    </xf>
    <xf numFmtId="37" fontId="11" fillId="0" borderId="0" xfId="554" applyNumberFormat="1" applyFont="1"/>
    <xf numFmtId="0" fontId="12" fillId="11" borderId="0" xfId="554" applyFont="1" applyFill="1" applyAlignment="1">
      <alignment horizontal="center"/>
    </xf>
    <xf numFmtId="0" fontId="12" fillId="11" borderId="60" xfId="554" applyFont="1" applyFill="1" applyBorder="1" applyAlignment="1">
      <alignment horizontal="center"/>
    </xf>
    <xf numFmtId="37" fontId="12" fillId="11" borderId="60" xfId="554" applyNumberFormat="1" applyFont="1" applyFill="1" applyBorder="1" applyAlignment="1">
      <alignment horizontal="center"/>
    </xf>
    <xf numFmtId="180" fontId="11" fillId="0" borderId="0" xfId="554" applyNumberFormat="1" applyFont="1"/>
    <xf numFmtId="0" fontId="11" fillId="9" borderId="0" xfId="5" applyNumberFormat="1" applyFont="1" applyFill="1" applyBorder="1" applyAlignment="1">
      <alignment horizontal="center"/>
    </xf>
    <xf numFmtId="9" fontId="11" fillId="0" borderId="0" xfId="555" applyFont="1" applyAlignment="1" applyProtection="1">
      <alignment horizontal="center"/>
    </xf>
    <xf numFmtId="180" fontId="11" fillId="0" borderId="0" xfId="554" applyNumberFormat="1" applyFont="1" applyAlignment="1">
      <alignment horizontal="center"/>
    </xf>
    <xf numFmtId="182" fontId="11" fillId="0" borderId="0" xfId="554" applyNumberFormat="1" applyFont="1" applyAlignment="1">
      <alignment horizontal="center"/>
    </xf>
    <xf numFmtId="0" fontId="11" fillId="9" borderId="0" xfId="5" quotePrefix="1" applyNumberFormat="1" applyFont="1" applyFill="1" applyBorder="1" applyAlignment="1">
      <alignment horizontal="center"/>
    </xf>
    <xf numFmtId="168" fontId="2" fillId="0" borderId="0" xfId="556" applyNumberFormat="1" applyFont="1" applyAlignment="1">
      <alignment horizontal="right"/>
    </xf>
    <xf numFmtId="0" fontId="11" fillId="0" borderId="69" xfId="554" applyFont="1" applyBorder="1" applyAlignment="1">
      <alignment horizontal="center"/>
    </xf>
    <xf numFmtId="37" fontId="11" fillId="0" borderId="69" xfId="554" applyNumberFormat="1" applyFont="1" applyBorder="1" applyAlignment="1">
      <alignment horizontal="center"/>
    </xf>
    <xf numFmtId="10" fontId="11" fillId="0" borderId="0" xfId="555" applyNumberFormat="1" applyFont="1" applyFill="1" applyAlignment="1" applyProtection="1">
      <alignment horizontal="center"/>
    </xf>
    <xf numFmtId="168" fontId="2" fillId="0" borderId="0" xfId="556" applyNumberFormat="1" applyFont="1" applyAlignment="1">
      <alignment horizontal="center"/>
    </xf>
    <xf numFmtId="41" fontId="11" fillId="0" borderId="0" xfId="554" applyNumberFormat="1" applyFont="1"/>
    <xf numFmtId="0" fontId="2" fillId="0" borderId="0" xfId="554" applyFont="1" applyAlignment="1">
      <alignment horizontal="center"/>
    </xf>
    <xf numFmtId="0" fontId="2" fillId="0" borderId="0" xfId="554" applyFont="1"/>
    <xf numFmtId="180" fontId="2" fillId="0" borderId="0" xfId="554" applyNumberFormat="1" applyFont="1" applyAlignment="1">
      <alignment horizontal="center"/>
    </xf>
    <xf numFmtId="180" fontId="17" fillId="0" borderId="0" xfId="554" applyNumberFormat="1" applyFont="1"/>
    <xf numFmtId="37" fontId="16" fillId="0" borderId="14" xfId="5" applyNumberFormat="1" applyFont="1" applyFill="1" applyBorder="1" applyAlignment="1">
      <alignment horizontal="center"/>
    </xf>
    <xf numFmtId="37" fontId="16" fillId="0" borderId="15" xfId="5" applyNumberFormat="1" applyFont="1" applyFill="1" applyBorder="1" applyAlignment="1">
      <alignment horizontal="center"/>
    </xf>
    <xf numFmtId="37" fontId="16" fillId="0" borderId="63" xfId="5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60" xfId="0" applyFont="1" applyBorder="1" applyAlignment="1">
      <alignment horizontal="center"/>
    </xf>
    <xf numFmtId="37" fontId="13" fillId="0" borderId="0" xfId="5" applyNumberFormat="1" applyFont="1" applyFill="1" applyBorder="1" applyAlignment="1">
      <alignment horizontal="center"/>
    </xf>
    <xf numFmtId="37" fontId="13" fillId="0" borderId="6" xfId="5" applyNumberFormat="1" applyFont="1" applyBorder="1" applyAlignment="1">
      <alignment horizontal="center"/>
    </xf>
    <xf numFmtId="37" fontId="15" fillId="0" borderId="67" xfId="5" applyNumberFormat="1" applyFont="1" applyBorder="1" applyAlignment="1">
      <alignment horizontal="center"/>
    </xf>
    <xf numFmtId="37" fontId="15" fillId="0" borderId="68" xfId="5" applyNumberFormat="1" applyFont="1" applyBorder="1" applyAlignment="1">
      <alignment horizontal="center"/>
    </xf>
    <xf numFmtId="37" fontId="13" fillId="0" borderId="0" xfId="5" applyNumberFormat="1" applyFont="1" applyBorder="1" applyAlignment="1">
      <alignment horizontal="center"/>
    </xf>
    <xf numFmtId="37" fontId="12" fillId="0" borderId="9" xfId="5" applyNumberFormat="1" applyFont="1" applyFill="1" applyBorder="1" applyAlignment="1">
      <alignment horizontal="center"/>
    </xf>
    <xf numFmtId="37" fontId="11" fillId="0" borderId="0" xfId="1" applyNumberFormat="1" applyFont="1" applyBorder="1" applyAlignment="1">
      <alignment horizontal="center"/>
    </xf>
    <xf numFmtId="37" fontId="11" fillId="0" borderId="62" xfId="5" applyNumberFormat="1" applyFont="1" applyBorder="1" applyAlignment="1">
      <alignment horizontal="center"/>
    </xf>
    <xf numFmtId="39" fontId="11" fillId="0" borderId="67" xfId="5" applyNumberFormat="1" applyFont="1" applyBorder="1" applyAlignment="1">
      <alignment horizontal="center"/>
    </xf>
    <xf numFmtId="39" fontId="11" fillId="0" borderId="0" xfId="5" applyNumberFormat="1" applyFont="1" applyBorder="1" applyAlignment="1">
      <alignment horizontal="center"/>
    </xf>
    <xf numFmtId="39" fontId="11" fillId="0" borderId="60" xfId="5" applyNumberFormat="1" applyFont="1" applyBorder="1" applyAlignment="1">
      <alignment horizontal="center"/>
    </xf>
    <xf numFmtId="9" fontId="12" fillId="0" borderId="10" xfId="2" applyFont="1" applyBorder="1" applyAlignment="1">
      <alignment horizontal="center"/>
    </xf>
    <xf numFmtId="165" fontId="16" fillId="0" borderId="0" xfId="2" applyNumberFormat="1" applyFont="1" applyBorder="1" applyAlignment="1">
      <alignment horizontal="center"/>
    </xf>
    <xf numFmtId="9" fontId="13" fillId="0" borderId="60" xfId="2" applyFont="1" applyFill="1" applyBorder="1" applyAlignment="1">
      <alignment horizontal="center"/>
    </xf>
    <xf numFmtId="39" fontId="11" fillId="0" borderId="40" xfId="0" applyNumberFormat="1" applyFont="1" applyBorder="1" applyAlignment="1">
      <alignment horizontal="center"/>
    </xf>
    <xf numFmtId="37" fontId="2" fillId="5" borderId="0" xfId="5" applyNumberFormat="1" applyFont="1" applyFill="1" applyBorder="1" applyAlignment="1">
      <alignment horizontal="center"/>
    </xf>
    <xf numFmtId="37" fontId="5" fillId="5" borderId="0" xfId="8" applyNumberFormat="1" applyFill="1" applyAlignment="1">
      <alignment horizontal="center"/>
    </xf>
    <xf numFmtId="37" fontId="44" fillId="5" borderId="0" xfId="9" applyNumberFormat="1" applyFont="1" applyFill="1" applyBorder="1" applyAlignment="1">
      <alignment horizontal="center"/>
    </xf>
    <xf numFmtId="37" fontId="2" fillId="5" borderId="60" xfId="9" applyNumberFormat="1" applyFont="1" applyFill="1" applyBorder="1" applyAlignment="1">
      <alignment horizontal="center"/>
    </xf>
    <xf numFmtId="37" fontId="2" fillId="5" borderId="60" xfId="5" applyNumberFormat="1" applyFont="1" applyFill="1" applyBorder="1" applyAlignment="1">
      <alignment horizontal="center"/>
    </xf>
    <xf numFmtId="166" fontId="4" fillId="29" borderId="0" xfId="9" applyNumberFormat="1" applyFont="1" applyFill="1" applyBorder="1"/>
    <xf numFmtId="37" fontId="4" fillId="29" borderId="60" xfId="9" applyNumberFormat="1" applyFont="1" applyFill="1" applyBorder="1" applyAlignment="1">
      <alignment horizontal="center"/>
    </xf>
    <xf numFmtId="166" fontId="51" fillId="0" borderId="0" xfId="9" applyNumberFormat="1" applyFont="1" applyFill="1" applyBorder="1"/>
    <xf numFmtId="39" fontId="51" fillId="5" borderId="0" xfId="5" applyNumberFormat="1" applyFont="1" applyFill="1" applyBorder="1" applyAlignment="1">
      <alignment horizontal="center"/>
    </xf>
    <xf numFmtId="43" fontId="39" fillId="5" borderId="17" xfId="9" applyFont="1" applyFill="1" applyBorder="1"/>
    <xf numFmtId="166" fontId="2" fillId="5" borderId="16" xfId="9" applyNumberFormat="1" applyFont="1" applyFill="1" applyBorder="1"/>
    <xf numFmtId="37" fontId="2" fillId="5" borderId="61" xfId="5" applyNumberFormat="1" applyFont="1" applyFill="1" applyBorder="1" applyAlignment="1">
      <alignment horizontal="center"/>
    </xf>
    <xf numFmtId="37" fontId="2" fillId="5" borderId="40" xfId="9" applyNumberFormat="1" applyFont="1" applyFill="1" applyBorder="1" applyAlignment="1">
      <alignment horizontal="center"/>
    </xf>
    <xf numFmtId="9" fontId="2" fillId="5" borderId="40" xfId="2" applyFont="1" applyFill="1" applyBorder="1"/>
    <xf numFmtId="37" fontId="2" fillId="5" borderId="61" xfId="9" applyNumberFormat="1" applyFont="1" applyFill="1" applyBorder="1" applyAlignment="1">
      <alignment horizontal="center"/>
    </xf>
    <xf numFmtId="37" fontId="4" fillId="5" borderId="40" xfId="9" applyNumberFormat="1" applyFont="1" applyFill="1" applyBorder="1" applyAlignment="1">
      <alignment horizontal="center"/>
    </xf>
    <xf numFmtId="37" fontId="2" fillId="5" borderId="40" xfId="5" applyNumberFormat="1" applyFont="1" applyFill="1" applyBorder="1" applyAlignment="1">
      <alignment horizontal="center"/>
    </xf>
    <xf numFmtId="37" fontId="4" fillId="29" borderId="61" xfId="9" applyNumberFormat="1" applyFont="1" applyFill="1" applyBorder="1" applyAlignment="1">
      <alignment horizontal="center"/>
    </xf>
    <xf numFmtId="37" fontId="44" fillId="5" borderId="40" xfId="9" applyNumberFormat="1" applyFont="1" applyFill="1" applyBorder="1" applyAlignment="1">
      <alignment horizontal="center"/>
    </xf>
    <xf numFmtId="166" fontId="51" fillId="0" borderId="11" xfId="9" applyNumberFormat="1" applyFont="1" applyFill="1" applyBorder="1"/>
    <xf numFmtId="39" fontId="51" fillId="5" borderId="11" xfId="5" applyNumberFormat="1" applyFont="1" applyFill="1" applyBorder="1" applyAlignment="1">
      <alignment horizontal="center"/>
    </xf>
    <xf numFmtId="39" fontId="51" fillId="5" borderId="42" xfId="5" applyNumberFormat="1" applyFont="1" applyFill="1" applyBorder="1" applyAlignment="1">
      <alignment horizontal="center"/>
    </xf>
    <xf numFmtId="166" fontId="91" fillId="5" borderId="0" xfId="9" applyNumberFormat="1" applyFont="1" applyFill="1" applyBorder="1"/>
    <xf numFmtId="166" fontId="51" fillId="5" borderId="0" xfId="9" applyNumberFormat="1" applyFont="1" applyFill="1" applyBorder="1"/>
    <xf numFmtId="0" fontId="77" fillId="0" borderId="0" xfId="0" applyFont="1"/>
    <xf numFmtId="0" fontId="92" fillId="0" borderId="0" xfId="0" applyFont="1" applyAlignment="1">
      <alignment horizontal="center"/>
    </xf>
    <xf numFmtId="9" fontId="92" fillId="0" borderId="0" xfId="0" applyNumberFormat="1" applyFont="1" applyAlignment="1">
      <alignment horizontal="center"/>
    </xf>
    <xf numFmtId="0" fontId="77" fillId="0" borderId="0" xfId="0" applyFont="1" applyAlignment="1">
      <alignment horizontal="center"/>
    </xf>
    <xf numFmtId="0" fontId="93" fillId="0" borderId="3" xfId="0" applyFont="1" applyBorder="1" applyAlignment="1">
      <alignment horizontal="centerContinuous"/>
    </xf>
    <xf numFmtId="0" fontId="94" fillId="0" borderId="4" xfId="0" applyFont="1" applyBorder="1" applyAlignment="1">
      <alignment horizontal="centerContinuous"/>
    </xf>
    <xf numFmtId="0" fontId="93" fillId="0" borderId="2" xfId="0" applyFont="1" applyBorder="1" applyAlignment="1">
      <alignment horizontal="centerContinuous"/>
    </xf>
    <xf numFmtId="0" fontId="94" fillId="0" borderId="4" xfId="0" applyFont="1" applyBorder="1" applyAlignment="1">
      <alignment horizontal="center"/>
    </xf>
    <xf numFmtId="3" fontId="11" fillId="0" borderId="40" xfId="0" applyNumberFormat="1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9" fontId="11" fillId="0" borderId="67" xfId="2" applyFont="1" applyFill="1" applyBorder="1"/>
    <xf numFmtId="0" fontId="11" fillId="0" borderId="17" xfId="0" applyFont="1" applyBorder="1"/>
    <xf numFmtId="0" fontId="11" fillId="32" borderId="17" xfId="0" applyFont="1" applyFill="1" applyBorder="1"/>
    <xf numFmtId="0" fontId="11" fillId="32" borderId="16" xfId="0" applyFont="1" applyFill="1" applyBorder="1" applyAlignment="1">
      <alignment horizontal="right"/>
    </xf>
    <xf numFmtId="0" fontId="11" fillId="32" borderId="16" xfId="0" applyFont="1" applyFill="1" applyBorder="1" applyAlignment="1">
      <alignment horizontal="center"/>
    </xf>
    <xf numFmtId="0" fontId="11" fillId="32" borderId="16" xfId="0" applyFont="1" applyFill="1" applyBorder="1"/>
    <xf numFmtId="0" fontId="11" fillId="32" borderId="18" xfId="0" applyFont="1" applyFill="1" applyBorder="1"/>
    <xf numFmtId="0" fontId="2" fillId="0" borderId="9" xfId="0" applyFont="1" applyBorder="1"/>
    <xf numFmtId="165" fontId="16" fillId="0" borderId="0" xfId="2" applyNumberFormat="1" applyFont="1" applyFill="1" applyBorder="1" applyAlignment="1">
      <alignment horizontal="center"/>
    </xf>
    <xf numFmtId="0" fontId="12" fillId="3" borderId="9" xfId="0" applyFont="1" applyFill="1" applyBorder="1"/>
    <xf numFmtId="0" fontId="12" fillId="3" borderId="8" xfId="0" applyFont="1" applyFill="1" applyBorder="1"/>
    <xf numFmtId="0" fontId="12" fillId="3" borderId="9" xfId="0" applyFont="1" applyFill="1" applyBorder="1" applyAlignment="1">
      <alignment horizontal="center"/>
    </xf>
    <xf numFmtId="37" fontId="11" fillId="9" borderId="46" xfId="5" applyNumberFormat="1" applyFont="1" applyFill="1" applyBorder="1" applyAlignment="1">
      <alignment horizontal="center"/>
    </xf>
    <xf numFmtId="181" fontId="11" fillId="9" borderId="46" xfId="5" applyNumberFormat="1" applyFont="1" applyFill="1" applyBorder="1" applyAlignment="1">
      <alignment horizontal="center"/>
    </xf>
    <xf numFmtId="0" fontId="12" fillId="0" borderId="2" xfId="0" applyFont="1" applyBorder="1"/>
    <xf numFmtId="37" fontId="12" fillId="0" borderId="13" xfId="1" applyNumberFormat="1" applyFont="1" applyBorder="1" applyAlignment="1">
      <alignment horizontal="center"/>
    </xf>
    <xf numFmtId="164" fontId="11" fillId="0" borderId="13" xfId="1" applyNumberFormat="1" applyFont="1" applyBorder="1" applyAlignment="1">
      <alignment horizontal="center"/>
    </xf>
    <xf numFmtId="3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39" fontId="11" fillId="0" borderId="0" xfId="0" applyNumberFormat="1" applyFont="1"/>
    <xf numFmtId="37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5" fillId="0" borderId="11" xfId="54" applyBorder="1"/>
    <xf numFmtId="0" fontId="78" fillId="0" borderId="11" xfId="54" applyFont="1" applyBorder="1" applyAlignment="1">
      <alignment horizontal="center"/>
    </xf>
    <xf numFmtId="0" fontId="78" fillId="0" borderId="11" xfId="54" applyFont="1" applyBorder="1" applyAlignment="1">
      <alignment horizontal="center" vertical="center"/>
    </xf>
    <xf numFmtId="0" fontId="11" fillId="0" borderId="72" xfId="54" applyFont="1" applyBorder="1" applyAlignment="1">
      <alignment horizontal="left" vertical="center"/>
    </xf>
    <xf numFmtId="0" fontId="4" fillId="0" borderId="0" xfId="54" applyFont="1" applyAlignment="1">
      <alignment vertical="top" wrapText="1"/>
    </xf>
    <xf numFmtId="166" fontId="4" fillId="0" borderId="0" xfId="54" applyNumberFormat="1" applyFont="1"/>
    <xf numFmtId="166" fontId="2" fillId="0" borderId="0" xfId="10" applyNumberFormat="1" applyFont="1" applyFill="1" applyAlignment="1">
      <alignment horizontal="center"/>
    </xf>
    <xf numFmtId="166" fontId="4" fillId="0" borderId="0" xfId="54" applyNumberFormat="1" applyFont="1" applyAlignment="1">
      <alignment horizontal="right"/>
    </xf>
    <xf numFmtId="37" fontId="2" fillId="0" borderId="0" xfId="54" applyNumberFormat="1" applyFont="1" applyAlignment="1">
      <alignment horizontal="center"/>
    </xf>
    <xf numFmtId="37" fontId="2" fillId="0" borderId="60" xfId="54" applyNumberFormat="1" applyFont="1" applyBorder="1" applyAlignment="1">
      <alignment horizontal="center"/>
    </xf>
    <xf numFmtId="37" fontId="4" fillId="0" borderId="0" xfId="54" applyNumberFormat="1" applyFont="1" applyAlignment="1">
      <alignment horizontal="center"/>
    </xf>
    <xf numFmtId="0" fontId="12" fillId="0" borderId="50" xfId="0" applyFont="1" applyBorder="1"/>
    <xf numFmtId="0" fontId="19" fillId="0" borderId="50" xfId="0" applyFont="1" applyBorder="1"/>
    <xf numFmtId="0" fontId="75" fillId="0" borderId="60" xfId="0" applyFont="1" applyBorder="1"/>
    <xf numFmtId="166" fontId="2" fillId="0" borderId="11" xfId="5" applyNumberFormat="1" applyFont="1" applyBorder="1" applyAlignment="1">
      <alignment horizontal="center"/>
    </xf>
    <xf numFmtId="0" fontId="11" fillId="30" borderId="0" xfId="0" applyFont="1" applyFill="1"/>
    <xf numFmtId="0" fontId="11" fillId="30" borderId="40" xfId="0" applyFont="1" applyFill="1" applyBorder="1"/>
    <xf numFmtId="0" fontId="11" fillId="30" borderId="11" xfId="0" applyFont="1" applyFill="1" applyBorder="1"/>
    <xf numFmtId="0" fontId="11" fillId="30" borderId="42" xfId="0" applyFont="1" applyFill="1" applyBorder="1"/>
    <xf numFmtId="0" fontId="75" fillId="0" borderId="17" xfId="0" applyFont="1" applyBorder="1"/>
    <xf numFmtId="0" fontId="75" fillId="0" borderId="16" xfId="0" applyFont="1" applyBorder="1"/>
    <xf numFmtId="0" fontId="75" fillId="0" borderId="18" xfId="0" applyFont="1" applyBorder="1"/>
    <xf numFmtId="0" fontId="12" fillId="0" borderId="3" xfId="0" applyFont="1" applyBorder="1" applyAlignment="1">
      <alignment horizontal="center" vertical="center" wrapText="1"/>
    </xf>
    <xf numFmtId="0" fontId="75" fillId="0" borderId="50" xfId="0" applyFont="1" applyBorder="1"/>
    <xf numFmtId="37" fontId="11" fillId="0" borderId="16" xfId="0" applyNumberFormat="1" applyFont="1" applyBorder="1" applyAlignment="1">
      <alignment horizontal="center"/>
    </xf>
    <xf numFmtId="37" fontId="12" fillId="0" borderId="34" xfId="0" applyNumberFormat="1" applyFont="1" applyBorder="1" applyAlignment="1">
      <alignment horizontal="center"/>
    </xf>
    <xf numFmtId="37" fontId="11" fillId="31" borderId="0" xfId="2" applyNumberFormat="1" applyFont="1" applyFill="1" applyBorder="1" applyAlignment="1">
      <alignment horizontal="center"/>
    </xf>
    <xf numFmtId="37" fontId="11" fillId="31" borderId="0" xfId="0" applyNumberFormat="1" applyFont="1" applyFill="1" applyAlignment="1">
      <alignment horizontal="center"/>
    </xf>
    <xf numFmtId="37" fontId="11" fillId="31" borderId="0" xfId="5" applyNumberFormat="1" applyFont="1" applyFill="1" applyBorder="1" applyAlignment="1">
      <alignment horizontal="center"/>
    </xf>
    <xf numFmtId="37" fontId="11" fillId="31" borderId="0" xfId="5" applyNumberFormat="1" applyFont="1" applyFill="1" applyBorder="1" applyAlignment="1">
      <alignment horizontal="center" vertical="center"/>
    </xf>
    <xf numFmtId="37" fontId="2" fillId="31" borderId="0" xfId="1" applyNumberFormat="1" applyFont="1" applyFill="1" applyBorder="1" applyAlignment="1">
      <alignment horizontal="center"/>
    </xf>
    <xf numFmtId="37" fontId="2" fillId="31" borderId="0" xfId="5" applyNumberFormat="1" applyFont="1" applyFill="1" applyBorder="1" applyAlignment="1">
      <alignment horizontal="center"/>
    </xf>
    <xf numFmtId="37" fontId="11" fillId="31" borderId="0" xfId="5" applyNumberFormat="1" applyFont="1" applyFill="1" applyBorder="1" applyAlignment="1">
      <alignment horizontal="center" vertical="top"/>
    </xf>
    <xf numFmtId="37" fontId="11" fillId="31" borderId="34" xfId="0" applyNumberFormat="1" applyFont="1" applyFill="1" applyBorder="1" applyAlignment="1">
      <alignment horizontal="center"/>
    </xf>
    <xf numFmtId="37" fontId="11" fillId="31" borderId="86" xfId="0" applyNumberFormat="1" applyFont="1" applyFill="1" applyBorder="1" applyAlignment="1">
      <alignment horizontal="center"/>
    </xf>
    <xf numFmtId="37" fontId="2" fillId="0" borderId="0" xfId="5" applyNumberFormat="1" applyFont="1" applyFill="1" applyBorder="1" applyAlignment="1">
      <alignment horizontal="center"/>
    </xf>
    <xf numFmtId="37" fontId="2" fillId="9" borderId="60" xfId="5" applyNumberFormat="1" applyFont="1" applyFill="1" applyBorder="1" applyAlignment="1">
      <alignment horizontal="center"/>
    </xf>
    <xf numFmtId="37" fontId="12" fillId="0" borderId="0" xfId="5" applyNumberFormat="1" applyFont="1" applyFill="1" applyBorder="1" applyAlignment="1">
      <alignment horizontal="center"/>
    </xf>
    <xf numFmtId="37" fontId="12" fillId="0" borderId="0" xfId="5" applyNumberFormat="1" applyFont="1" applyBorder="1" applyAlignment="1">
      <alignment horizontal="center"/>
    </xf>
    <xf numFmtId="37" fontId="12" fillId="0" borderId="6" xfId="5" applyNumberFormat="1" applyFont="1" applyBorder="1" applyAlignment="1">
      <alignment horizontal="center"/>
    </xf>
    <xf numFmtId="37" fontId="11" fillId="5" borderId="0" xfId="1" applyNumberFormat="1" applyFont="1" applyFill="1" applyBorder="1" applyAlignment="1">
      <alignment horizontal="center"/>
    </xf>
    <xf numFmtId="37" fontId="11" fillId="0" borderId="0" xfId="1" applyNumberFormat="1" applyFont="1" applyFill="1" applyBorder="1" applyAlignment="1">
      <alignment horizontal="center"/>
    </xf>
    <xf numFmtId="37" fontId="2" fillId="0" borderId="0" xfId="5" applyNumberFormat="1" applyFont="1" applyBorder="1" applyAlignment="1">
      <alignment horizontal="center"/>
    </xf>
    <xf numFmtId="37" fontId="12" fillId="0" borderId="67" xfId="5" applyNumberFormat="1" applyFont="1" applyBorder="1" applyAlignment="1">
      <alignment horizontal="center"/>
    </xf>
    <xf numFmtId="37" fontId="12" fillId="0" borderId="68" xfId="5" applyNumberFormat="1" applyFont="1" applyBorder="1" applyAlignment="1">
      <alignment horizontal="center"/>
    </xf>
    <xf numFmtId="37" fontId="13" fillId="7" borderId="0" xfId="5" applyNumberFormat="1" applyFont="1" applyFill="1" applyBorder="1" applyAlignment="1">
      <alignment horizontal="center"/>
    </xf>
    <xf numFmtId="37" fontId="11" fillId="7" borderId="0" xfId="5" applyNumberFormat="1" applyFont="1" applyFill="1" applyBorder="1" applyAlignment="1">
      <alignment horizontal="center"/>
    </xf>
    <xf numFmtId="37" fontId="11" fillId="0" borderId="19" xfId="5" applyNumberFormat="1" applyFont="1" applyFill="1" applyBorder="1" applyAlignment="1">
      <alignment horizontal="center"/>
    </xf>
    <xf numFmtId="37" fontId="11" fillId="7" borderId="0" xfId="0" applyNumberFormat="1" applyFont="1" applyFill="1" applyAlignment="1">
      <alignment horizontal="center"/>
    </xf>
    <xf numFmtId="37" fontId="11" fillId="7" borderId="6" xfId="0" applyNumberFormat="1" applyFont="1" applyFill="1" applyBorder="1" applyAlignment="1">
      <alignment horizontal="center"/>
    </xf>
    <xf numFmtId="37" fontId="11" fillId="7" borderId="19" xfId="5" applyNumberFormat="1" applyFont="1" applyFill="1" applyBorder="1" applyAlignment="1">
      <alignment horizontal="center"/>
    </xf>
    <xf numFmtId="37" fontId="11" fillId="7" borderId="19" xfId="0" applyNumberFormat="1" applyFont="1" applyFill="1" applyBorder="1" applyAlignment="1">
      <alignment horizontal="center"/>
    </xf>
    <xf numFmtId="37" fontId="11" fillId="7" borderId="20" xfId="0" applyNumberFormat="1" applyFont="1" applyFill="1" applyBorder="1" applyAlignment="1">
      <alignment horizontal="center"/>
    </xf>
    <xf numFmtId="37" fontId="12" fillId="7" borderId="0" xfId="5" applyNumberFormat="1" applyFont="1" applyFill="1" applyBorder="1" applyAlignment="1">
      <alignment horizontal="center"/>
    </xf>
    <xf numFmtId="37" fontId="12" fillId="0" borderId="6" xfId="0" applyNumberFormat="1" applyFont="1" applyBorder="1" applyAlignment="1">
      <alignment horizontal="center"/>
    </xf>
    <xf numFmtId="37" fontId="11" fillId="5" borderId="0" xfId="5" applyNumberFormat="1" applyFont="1" applyFill="1" applyBorder="1" applyAlignment="1">
      <alignment horizontal="center"/>
    </xf>
    <xf numFmtId="37" fontId="12" fillId="0" borderId="67" xfId="5" applyNumberFormat="1" applyFont="1" applyFill="1" applyBorder="1" applyAlignment="1">
      <alignment horizontal="center"/>
    </xf>
    <xf numFmtId="37" fontId="11" fillId="5" borderId="0" xfId="5" quotePrefix="1" applyNumberFormat="1" applyFont="1" applyFill="1" applyBorder="1" applyAlignment="1">
      <alignment horizontal="center"/>
    </xf>
    <xf numFmtId="37" fontId="11" fillId="0" borderId="20" xfId="5" applyNumberFormat="1" applyFont="1" applyBorder="1" applyAlignment="1">
      <alignment horizontal="center"/>
    </xf>
    <xf numFmtId="37" fontId="12" fillId="0" borderId="88" xfId="0" applyNumberFormat="1" applyFont="1" applyBorder="1" applyAlignment="1">
      <alignment horizontal="center"/>
    </xf>
    <xf numFmtId="37" fontId="11" fillId="0" borderId="19" xfId="5" applyNumberFormat="1" applyFont="1" applyBorder="1" applyAlignment="1">
      <alignment horizontal="center"/>
    </xf>
    <xf numFmtId="37" fontId="11" fillId="0" borderId="67" xfId="5" applyNumberFormat="1" applyFont="1" applyBorder="1" applyAlignment="1">
      <alignment horizontal="center"/>
    </xf>
    <xf numFmtId="37" fontId="11" fillId="0" borderId="68" xfId="5" applyNumberFormat="1" applyFont="1" applyBorder="1" applyAlignment="1">
      <alignment horizontal="center"/>
    </xf>
    <xf numFmtId="37" fontId="11" fillId="0" borderId="86" xfId="0" applyNumberFormat="1" applyFont="1" applyBorder="1" applyAlignment="1">
      <alignment horizontal="center"/>
    </xf>
    <xf numFmtId="37" fontId="11" fillId="0" borderId="87" xfId="0" applyNumberFormat="1" applyFont="1" applyBorder="1" applyAlignment="1">
      <alignment horizontal="center"/>
    </xf>
    <xf numFmtId="37" fontId="4" fillId="4" borderId="25" xfId="5" applyNumberFormat="1" applyFont="1" applyFill="1" applyBorder="1" applyAlignment="1">
      <alignment horizontal="center"/>
    </xf>
    <xf numFmtId="37" fontId="4" fillId="4" borderId="26" xfId="5" applyNumberFormat="1" applyFont="1" applyFill="1" applyBorder="1" applyAlignment="1">
      <alignment horizontal="center"/>
    </xf>
    <xf numFmtId="37" fontId="11" fillId="31" borderId="0" xfId="1" applyNumberFormat="1" applyFont="1" applyFill="1" applyBorder="1" applyAlignment="1">
      <alignment horizontal="center"/>
    </xf>
    <xf numFmtId="9" fontId="13" fillId="0" borderId="62" xfId="2" applyFont="1" applyBorder="1" applyAlignment="1">
      <alignment horizontal="center"/>
    </xf>
    <xf numFmtId="184" fontId="11" fillId="0" borderId="62" xfId="5" applyNumberFormat="1" applyFont="1" applyFill="1" applyBorder="1" applyAlignment="1">
      <alignment horizontal="center"/>
    </xf>
    <xf numFmtId="37" fontId="11" fillId="0" borderId="11" xfId="5" applyNumberFormat="1" applyFont="1" applyFill="1" applyBorder="1" applyAlignment="1">
      <alignment horizontal="center"/>
    </xf>
    <xf numFmtId="37" fontId="11" fillId="0" borderId="42" xfId="5" applyNumberFormat="1" applyFont="1" applyFill="1" applyBorder="1" applyAlignment="1">
      <alignment horizontal="center"/>
    </xf>
    <xf numFmtId="37" fontId="12" fillId="0" borderId="40" xfId="5" applyNumberFormat="1" applyFont="1" applyFill="1" applyBorder="1" applyAlignment="1">
      <alignment horizontal="center"/>
    </xf>
    <xf numFmtId="39" fontId="12" fillId="0" borderId="0" xfId="5" applyNumberFormat="1" applyFont="1" applyFill="1" applyBorder="1" applyAlignment="1">
      <alignment horizontal="center"/>
    </xf>
    <xf numFmtId="37" fontId="4" fillId="0" borderId="7" xfId="9" applyNumberFormat="1" applyFont="1" applyFill="1" applyBorder="1" applyAlignment="1">
      <alignment horizontal="center"/>
    </xf>
    <xf numFmtId="43" fontId="39" fillId="5" borderId="0" xfId="9" applyFont="1" applyFill="1" applyBorder="1"/>
    <xf numFmtId="43" fontId="2" fillId="5" borderId="17" xfId="9" applyFont="1" applyFill="1" applyBorder="1"/>
    <xf numFmtId="39" fontId="12" fillId="0" borderId="40" xfId="5" applyNumberFormat="1" applyFont="1" applyFill="1" applyBorder="1" applyAlignment="1">
      <alignment horizontal="center"/>
    </xf>
    <xf numFmtId="37" fontId="4" fillId="29" borderId="0" xfId="9" applyNumberFormat="1" applyFont="1" applyFill="1" applyBorder="1" applyAlignment="1">
      <alignment horizontal="center"/>
    </xf>
    <xf numFmtId="37" fontId="4" fillId="29" borderId="40" xfId="9" applyNumberFormat="1" applyFont="1" applyFill="1" applyBorder="1" applyAlignment="1">
      <alignment horizontal="center"/>
    </xf>
    <xf numFmtId="37" fontId="12" fillId="29" borderId="0" xfId="5" applyNumberFormat="1" applyFont="1" applyFill="1" applyBorder="1" applyAlignment="1">
      <alignment horizontal="center"/>
    </xf>
    <xf numFmtId="37" fontId="12" fillId="29" borderId="4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66" fontId="4" fillId="5" borderId="60" xfId="9" applyNumberFormat="1" applyFont="1" applyFill="1" applyBorder="1" applyAlignment="1">
      <alignment horizontal="center" vertical="center"/>
    </xf>
    <xf numFmtId="43" fontId="4" fillId="5" borderId="65" xfId="9" applyFont="1" applyFill="1" applyBorder="1" applyAlignment="1">
      <alignment horizontal="centerContinuous"/>
    </xf>
    <xf numFmtId="166" fontId="4" fillId="5" borderId="60" xfId="9" applyNumberFormat="1" applyFont="1" applyFill="1" applyBorder="1" applyAlignment="1">
      <alignment horizontal="left"/>
    </xf>
    <xf numFmtId="166" fontId="4" fillId="5" borderId="60" xfId="9" applyNumberFormat="1" applyFont="1" applyFill="1" applyBorder="1" applyAlignment="1">
      <alignment horizontal="centerContinuous"/>
    </xf>
    <xf numFmtId="166" fontId="4" fillId="5" borderId="61" xfId="9" applyNumberFormat="1" applyFont="1" applyFill="1" applyBorder="1" applyAlignment="1">
      <alignment horizontal="centerContinuous"/>
    </xf>
    <xf numFmtId="166" fontId="4" fillId="5" borderId="61" xfId="9" applyNumberFormat="1" applyFont="1" applyFill="1" applyBorder="1" applyAlignment="1">
      <alignment horizontal="center" vertical="center"/>
    </xf>
    <xf numFmtId="0" fontId="37" fillId="0" borderId="0" xfId="0" applyFont="1"/>
    <xf numFmtId="37" fontId="4" fillId="0" borderId="0" xfId="9" applyNumberFormat="1" applyFont="1" applyFill="1" applyBorder="1" applyAlignment="1">
      <alignment horizontal="center"/>
    </xf>
    <xf numFmtId="37" fontId="2" fillId="9" borderId="7" xfId="9" applyNumberFormat="1" applyFont="1" applyFill="1" applyBorder="1" applyAlignment="1">
      <alignment horizontal="center"/>
    </xf>
    <xf numFmtId="9" fontId="2" fillId="9" borderId="7" xfId="2" applyFont="1" applyFill="1" applyBorder="1" applyAlignment="1">
      <alignment horizontal="center"/>
    </xf>
    <xf numFmtId="37" fontId="2" fillId="0" borderId="7" xfId="9" applyNumberFormat="1" applyFont="1" applyFill="1" applyBorder="1" applyAlignment="1">
      <alignment horizontal="center"/>
    </xf>
    <xf numFmtId="166" fontId="4" fillId="0" borderId="11" xfId="9" applyNumberFormat="1" applyFont="1" applyFill="1" applyBorder="1"/>
    <xf numFmtId="173" fontId="2" fillId="4" borderId="0" xfId="9" applyNumberFormat="1" applyFont="1" applyFill="1" applyBorder="1"/>
    <xf numFmtId="185" fontId="11" fillId="0" borderId="0" xfId="2" applyNumberFormat="1" applyFont="1"/>
    <xf numFmtId="169" fontId="11" fillId="0" borderId="0" xfId="0" applyNumberFormat="1" applyFont="1"/>
    <xf numFmtId="37" fontId="11" fillId="0" borderId="47" xfId="0" applyNumberFormat="1" applyFont="1" applyBorder="1" applyAlignment="1">
      <alignment horizontal="center"/>
    </xf>
    <xf numFmtId="0" fontId="11" fillId="0" borderId="65" xfId="0" applyFont="1" applyBorder="1"/>
    <xf numFmtId="37" fontId="11" fillId="0" borderId="94" xfId="0" applyNumberFormat="1" applyFont="1" applyBorder="1" applyAlignment="1">
      <alignment horizontal="center"/>
    </xf>
    <xf numFmtId="0" fontId="12" fillId="0" borderId="39" xfId="0" applyFont="1" applyBorder="1"/>
    <xf numFmtId="169" fontId="11" fillId="0" borderId="47" xfId="0" applyNumberFormat="1" applyFont="1" applyBorder="1"/>
    <xf numFmtId="169" fontId="0" fillId="0" borderId="0" xfId="0" applyNumberFormat="1"/>
    <xf numFmtId="186" fontId="5" fillId="0" borderId="0" xfId="54" applyNumberFormat="1"/>
    <xf numFmtId="37" fontId="2" fillId="0" borderId="0" xfId="54" applyNumberFormat="1" applyFont="1" applyAlignment="1">
      <alignment horizontal="center" vertical="center"/>
    </xf>
    <xf numFmtId="37" fontId="2" fillId="0" borderId="39" xfId="54" applyNumberFormat="1" applyFont="1" applyBorder="1" applyAlignment="1">
      <alignment horizontal="center"/>
    </xf>
    <xf numFmtId="37" fontId="4" fillId="0" borderId="60" xfId="54" applyNumberFormat="1" applyFont="1" applyBorder="1" applyAlignment="1">
      <alignment horizontal="center"/>
    </xf>
    <xf numFmtId="10" fontId="2" fillId="0" borderId="65" xfId="2" applyNumberFormat="1" applyFont="1" applyBorder="1" applyAlignment="1">
      <alignment horizontal="center"/>
    </xf>
    <xf numFmtId="10" fontId="2" fillId="0" borderId="60" xfId="2" applyNumberFormat="1" applyFont="1" applyBorder="1" applyAlignment="1">
      <alignment horizontal="center"/>
    </xf>
    <xf numFmtId="37" fontId="4" fillId="0" borderId="67" xfId="54" applyNumberFormat="1" applyFont="1" applyBorder="1" applyAlignment="1">
      <alignment horizontal="center"/>
    </xf>
    <xf numFmtId="37" fontId="2" fillId="0" borderId="76" xfId="56" applyNumberFormat="1" applyFont="1" applyBorder="1" applyAlignment="1">
      <alignment horizontal="center" vertical="center"/>
    </xf>
    <xf numFmtId="37" fontId="2" fillId="0" borderId="7" xfId="56" applyNumberFormat="1" applyFont="1" applyBorder="1" applyAlignment="1">
      <alignment horizontal="center" vertical="center"/>
    </xf>
    <xf numFmtId="37" fontId="2" fillId="0" borderId="63" xfId="54" applyNumberFormat="1" applyFont="1" applyBorder="1" applyAlignment="1">
      <alignment horizontal="center" vertical="center"/>
    </xf>
    <xf numFmtId="37" fontId="2" fillId="0" borderId="7" xfId="54" applyNumberFormat="1" applyFont="1" applyBorder="1" applyAlignment="1">
      <alignment horizontal="center" vertical="center"/>
    </xf>
    <xf numFmtId="37" fontId="2" fillId="0" borderId="7" xfId="10" applyNumberFormat="1" applyFont="1" applyBorder="1" applyAlignment="1">
      <alignment horizontal="center" vertical="center"/>
    </xf>
    <xf numFmtId="37" fontId="2" fillId="0" borderId="68" xfId="54" applyNumberFormat="1" applyFont="1" applyBorder="1" applyAlignment="1">
      <alignment horizontal="center" vertical="center"/>
    </xf>
    <xf numFmtId="37" fontId="2" fillId="9" borderId="68" xfId="54" applyNumberFormat="1" applyFont="1" applyFill="1" applyBorder="1" applyAlignment="1">
      <alignment horizontal="center" vertical="center"/>
    </xf>
    <xf numFmtId="37" fontId="2" fillId="0" borderId="76" xfId="10" applyNumberFormat="1" applyFont="1" applyBorder="1" applyAlignment="1">
      <alignment horizontal="center" vertical="center"/>
    </xf>
    <xf numFmtId="37" fontId="2" fillId="0" borderId="14" xfId="10" applyNumberFormat="1" applyFont="1" applyBorder="1" applyAlignment="1">
      <alignment horizontal="center" vertical="center"/>
    </xf>
    <xf numFmtId="37" fontId="2" fillId="0" borderId="80" xfId="10" applyNumberFormat="1" applyFont="1" applyBorder="1" applyAlignment="1">
      <alignment horizontal="center" vertical="center"/>
    </xf>
    <xf numFmtId="37" fontId="2" fillId="0" borderId="82" xfId="10" applyNumberFormat="1" applyFont="1" applyBorder="1" applyAlignment="1">
      <alignment horizontal="center" vertical="center"/>
    </xf>
    <xf numFmtId="37" fontId="2" fillId="0" borderId="0" xfId="10" applyNumberFormat="1" applyFont="1" applyAlignment="1">
      <alignment horizontal="center" vertical="center"/>
    </xf>
    <xf numFmtId="37" fontId="4" fillId="29" borderId="11" xfId="54" applyNumberFormat="1" applyFont="1" applyFill="1" applyBorder="1" applyAlignment="1">
      <alignment horizontal="center"/>
    </xf>
    <xf numFmtId="37" fontId="4" fillId="29" borderId="41" xfId="54" applyNumberFormat="1" applyFont="1" applyFill="1" applyBorder="1" applyAlignment="1">
      <alignment horizontal="center"/>
    </xf>
    <xf numFmtId="37" fontId="11" fillId="0" borderId="35" xfId="56" applyNumberFormat="1" applyFont="1" applyBorder="1" applyAlignment="1">
      <alignment horizontal="center"/>
    </xf>
    <xf numFmtId="37" fontId="11" fillId="0" borderId="75" xfId="56" applyNumberFormat="1" applyFont="1" applyFill="1" applyBorder="1" applyAlignment="1">
      <alignment horizontal="center"/>
    </xf>
    <xf numFmtId="37" fontId="2" fillId="0" borderId="76" xfId="56" applyNumberFormat="1" applyFont="1" applyBorder="1" applyAlignment="1">
      <alignment horizontal="center"/>
    </xf>
    <xf numFmtId="37" fontId="2" fillId="0" borderId="35" xfId="56" applyNumberFormat="1" applyFont="1" applyBorder="1" applyAlignment="1">
      <alignment horizontal="center"/>
    </xf>
    <xf numFmtId="37" fontId="4" fillId="29" borderId="89" xfId="56" applyNumberFormat="1" applyFont="1" applyFill="1" applyBorder="1" applyAlignment="1">
      <alignment horizontal="center"/>
    </xf>
    <xf numFmtId="37" fontId="11" fillId="0" borderId="8" xfId="56" applyNumberFormat="1" applyFont="1" applyBorder="1" applyAlignment="1">
      <alignment horizontal="center"/>
    </xf>
    <xf numFmtId="37" fontId="11" fillId="0" borderId="77" xfId="56" applyNumberFormat="1" applyFont="1" applyFill="1" applyBorder="1" applyAlignment="1">
      <alignment horizontal="center"/>
    </xf>
    <xf numFmtId="37" fontId="2" fillId="0" borderId="7" xfId="56" applyNumberFormat="1" applyFont="1" applyBorder="1" applyAlignment="1">
      <alignment horizontal="center"/>
    </xf>
    <xf numFmtId="37" fontId="2" fillId="0" borderId="8" xfId="56" applyNumberFormat="1" applyFont="1" applyBorder="1" applyAlignment="1">
      <alignment horizontal="center"/>
    </xf>
    <xf numFmtId="37" fontId="4" fillId="29" borderId="90" xfId="56" applyNumberFormat="1" applyFont="1" applyFill="1" applyBorder="1" applyAlignment="1">
      <alignment horizontal="center"/>
    </xf>
    <xf numFmtId="37" fontId="11" fillId="0" borderId="83" xfId="56" applyNumberFormat="1" applyFont="1" applyFill="1" applyBorder="1" applyAlignment="1">
      <alignment horizontal="center"/>
    </xf>
    <xf numFmtId="37" fontId="2" fillId="0" borderId="63" xfId="10" applyNumberFormat="1" applyFont="1" applyFill="1" applyBorder="1" applyAlignment="1">
      <alignment horizontal="center"/>
    </xf>
    <xf numFmtId="37" fontId="2" fillId="0" borderId="63" xfId="54" applyNumberFormat="1" applyFont="1" applyBorder="1" applyAlignment="1">
      <alignment horizontal="center"/>
    </xf>
    <xf numFmtId="37" fontId="2" fillId="0" borderId="64" xfId="54" applyNumberFormat="1" applyFont="1" applyBorder="1" applyAlignment="1">
      <alignment horizontal="center"/>
    </xf>
    <xf numFmtId="37" fontId="2" fillId="0" borderId="7" xfId="10" applyNumberFormat="1" applyFont="1" applyBorder="1" applyAlignment="1">
      <alignment horizontal="center"/>
    </xf>
    <xf numFmtId="37" fontId="2" fillId="0" borderId="7" xfId="54" applyNumberFormat="1" applyFont="1" applyBorder="1" applyAlignment="1">
      <alignment horizontal="center"/>
    </xf>
    <xf numFmtId="37" fontId="2" fillId="0" borderId="8" xfId="54" applyNumberFormat="1" applyFont="1" applyBorder="1" applyAlignment="1">
      <alignment horizontal="center"/>
    </xf>
    <xf numFmtId="37" fontId="11" fillId="0" borderId="8" xfId="56" applyNumberFormat="1" applyFont="1" applyFill="1" applyBorder="1" applyAlignment="1">
      <alignment horizontal="center"/>
    </xf>
    <xf numFmtId="37" fontId="2" fillId="0" borderId="77" xfId="56" applyNumberFormat="1" applyFont="1" applyFill="1" applyBorder="1" applyAlignment="1">
      <alignment horizontal="center"/>
    </xf>
    <xf numFmtId="37" fontId="2" fillId="9" borderId="7" xfId="10" applyNumberFormat="1" applyFont="1" applyFill="1" applyBorder="1" applyAlignment="1">
      <alignment horizontal="center"/>
    </xf>
    <xf numFmtId="37" fontId="2" fillId="0" borderId="7" xfId="10" applyNumberFormat="1" applyFont="1" applyFill="1" applyBorder="1" applyAlignment="1">
      <alignment horizontal="center"/>
    </xf>
    <xf numFmtId="37" fontId="71" fillId="0" borderId="7" xfId="10" applyNumberFormat="1" applyFont="1" applyFill="1" applyBorder="1" applyAlignment="1">
      <alignment horizontal="center"/>
    </xf>
    <xf numFmtId="37" fontId="71" fillId="0" borderId="7" xfId="54" applyNumberFormat="1" applyFont="1" applyBorder="1" applyAlignment="1">
      <alignment horizontal="center"/>
    </xf>
    <xf numFmtId="37" fontId="71" fillId="0" borderId="8" xfId="54" applyNumberFormat="1" applyFont="1" applyBorder="1" applyAlignment="1">
      <alignment horizontal="center"/>
    </xf>
    <xf numFmtId="37" fontId="2" fillId="9" borderId="77" xfId="56" applyNumberFormat="1" applyFont="1" applyFill="1" applyBorder="1" applyAlignment="1">
      <alignment horizontal="center"/>
    </xf>
    <xf numFmtId="37" fontId="2" fillId="9" borderId="7" xfId="54" applyNumberFormat="1" applyFont="1" applyFill="1" applyBorder="1" applyAlignment="1">
      <alignment horizontal="center"/>
    </xf>
    <xf numFmtId="37" fontId="2" fillId="0" borderId="78" xfId="10" applyNumberFormat="1" applyFont="1" applyFill="1" applyBorder="1" applyAlignment="1">
      <alignment horizontal="center"/>
    </xf>
    <xf numFmtId="37" fontId="2" fillId="0" borderId="14" xfId="10" applyNumberFormat="1" applyFont="1" applyFill="1" applyBorder="1" applyAlignment="1">
      <alignment horizontal="center"/>
    </xf>
    <xf numFmtId="37" fontId="2" fillId="0" borderId="68" xfId="56" applyNumberFormat="1" applyFont="1" applyFill="1" applyBorder="1" applyAlignment="1">
      <alignment horizontal="center"/>
    </xf>
    <xf numFmtId="37" fontId="2" fillId="0" borderId="68" xfId="56" applyNumberFormat="1" applyFont="1" applyBorder="1" applyAlignment="1">
      <alignment horizontal="center"/>
    </xf>
    <xf numFmtId="37" fontId="2" fillId="0" borderId="68" xfId="54" applyNumberFormat="1" applyFont="1" applyBorder="1" applyAlignment="1">
      <alignment horizontal="center"/>
    </xf>
    <xf numFmtId="37" fontId="2" fillId="0" borderId="67" xfId="54" applyNumberFormat="1" applyFont="1" applyBorder="1" applyAlignment="1">
      <alignment horizontal="center"/>
    </xf>
    <xf numFmtId="37" fontId="2" fillId="9" borderId="78" xfId="56" applyNumberFormat="1" applyFont="1" applyFill="1" applyBorder="1" applyAlignment="1">
      <alignment horizontal="center"/>
    </xf>
    <xf numFmtId="37" fontId="2" fillId="9" borderId="68" xfId="56" applyNumberFormat="1" applyFont="1" applyFill="1" applyBorder="1" applyAlignment="1">
      <alignment horizontal="center"/>
    </xf>
    <xf numFmtId="37" fontId="2" fillId="0" borderId="78" xfId="56" applyNumberFormat="1" applyFont="1" applyFill="1" applyBorder="1" applyAlignment="1">
      <alignment horizontal="center"/>
    </xf>
    <xf numFmtId="37" fontId="2" fillId="9" borderId="68" xfId="54" applyNumberFormat="1" applyFont="1" applyFill="1" applyBorder="1" applyAlignment="1">
      <alignment horizontal="center"/>
    </xf>
    <xf numFmtId="37" fontId="2" fillId="0" borderId="77" xfId="56" applyNumberFormat="1" applyFont="1" applyBorder="1" applyAlignment="1">
      <alignment horizontal="center"/>
    </xf>
    <xf numFmtId="37" fontId="5" fillId="0" borderId="7" xfId="54" applyNumberFormat="1" applyBorder="1" applyAlignment="1">
      <alignment horizontal="center"/>
    </xf>
    <xf numFmtId="37" fontId="11" fillId="0" borderId="82" xfId="56" applyNumberFormat="1" applyFont="1" applyFill="1" applyBorder="1" applyAlignment="1">
      <alignment horizontal="center"/>
    </xf>
    <xf numFmtId="37" fontId="2" fillId="0" borderId="79" xfId="56" applyNumberFormat="1" applyFont="1" applyFill="1" applyBorder="1" applyAlignment="1">
      <alignment horizontal="center"/>
    </xf>
    <xf numFmtId="37" fontId="2" fillId="0" borderId="80" xfId="56" applyNumberFormat="1" applyFont="1" applyFill="1" applyBorder="1" applyAlignment="1">
      <alignment horizontal="center"/>
    </xf>
    <xf numFmtId="37" fontId="2" fillId="0" borderId="80" xfId="54" applyNumberFormat="1" applyFont="1" applyBorder="1" applyAlignment="1">
      <alignment horizontal="center"/>
    </xf>
    <xf numFmtId="37" fontId="2" fillId="0" borderId="82" xfId="54" applyNumberFormat="1" applyFont="1" applyBorder="1" applyAlignment="1">
      <alignment horizontal="center"/>
    </xf>
    <xf numFmtId="37" fontId="4" fillId="29" borderId="91" xfId="56" applyNumberFormat="1" applyFont="1" applyFill="1" applyBorder="1" applyAlignment="1">
      <alignment horizontal="center"/>
    </xf>
    <xf numFmtId="37" fontId="2" fillId="0" borderId="35" xfId="10" applyNumberFormat="1" applyFont="1" applyBorder="1" applyAlignment="1">
      <alignment horizontal="center"/>
    </xf>
    <xf numFmtId="37" fontId="2" fillId="0" borderId="75" xfId="10" applyNumberFormat="1" applyFont="1" applyBorder="1" applyAlignment="1">
      <alignment horizontal="center"/>
    </xf>
    <xf numFmtId="37" fontId="2" fillId="0" borderId="76" xfId="10" applyNumberFormat="1" applyFont="1" applyBorder="1" applyAlignment="1">
      <alignment horizontal="center"/>
    </xf>
    <xf numFmtId="37" fontId="4" fillId="29" borderId="89" xfId="10" applyNumberFormat="1" applyFont="1" applyFill="1" applyBorder="1" applyAlignment="1">
      <alignment horizontal="center"/>
    </xf>
    <xf numFmtId="37" fontId="2" fillId="0" borderId="8" xfId="10" applyNumberFormat="1" applyFont="1" applyBorder="1" applyAlignment="1">
      <alignment horizontal="center"/>
    </xf>
    <xf numFmtId="37" fontId="2" fillId="0" borderId="77" xfId="10" applyNumberFormat="1" applyFont="1" applyBorder="1" applyAlignment="1">
      <alignment horizontal="center"/>
    </xf>
    <xf numFmtId="37" fontId="4" fillId="29" borderId="90" xfId="10" applyNumberFormat="1" applyFont="1" applyFill="1" applyBorder="1" applyAlignment="1">
      <alignment horizontal="center"/>
    </xf>
    <xf numFmtId="37" fontId="82" fillId="0" borderId="7" xfId="10" applyNumberFormat="1" applyFont="1" applyBorder="1" applyAlignment="1">
      <alignment horizontal="center"/>
    </xf>
    <xf numFmtId="37" fontId="2" fillId="9" borderId="78" xfId="10" applyNumberFormat="1" applyFont="1" applyFill="1" applyBorder="1" applyAlignment="1">
      <alignment horizontal="center"/>
    </xf>
    <xf numFmtId="37" fontId="2" fillId="9" borderId="14" xfId="10" applyNumberFormat="1" applyFont="1" applyFill="1" applyBorder="1" applyAlignment="1">
      <alignment horizontal="center"/>
    </xf>
    <xf numFmtId="37" fontId="2" fillId="0" borderId="66" xfId="10" applyNumberFormat="1" applyFont="1" applyBorder="1" applyAlignment="1">
      <alignment horizontal="center"/>
    </xf>
    <xf numFmtId="37" fontId="2" fillId="0" borderId="14" xfId="10" applyNumberFormat="1" applyFont="1" applyBorder="1" applyAlignment="1">
      <alignment horizontal="center"/>
    </xf>
    <xf numFmtId="37" fontId="2" fillId="9" borderId="81" xfId="10" applyNumberFormat="1" applyFont="1" applyFill="1" applyBorder="1" applyAlignment="1">
      <alignment horizontal="center"/>
    </xf>
    <xf numFmtId="37" fontId="2" fillId="9" borderId="68" xfId="10" applyNumberFormat="1" applyFont="1" applyFill="1" applyBorder="1" applyAlignment="1">
      <alignment horizontal="center"/>
    </xf>
    <xf numFmtId="37" fontId="2" fillId="0" borderId="81" xfId="10" applyNumberFormat="1" applyFont="1" applyBorder="1" applyAlignment="1">
      <alignment horizontal="center"/>
    </xf>
    <xf numFmtId="37" fontId="2" fillId="0" borderId="10" xfId="10" applyNumberFormat="1" applyFont="1" applyBorder="1" applyAlignment="1">
      <alignment horizontal="center"/>
    </xf>
    <xf numFmtId="37" fontId="2" fillId="0" borderId="82" xfId="10" applyNumberFormat="1" applyFont="1" applyBorder="1" applyAlignment="1">
      <alignment horizontal="center"/>
    </xf>
    <xf numFmtId="37" fontId="2" fillId="0" borderId="79" xfId="10" applyNumberFormat="1" applyFont="1" applyBorder="1" applyAlignment="1">
      <alignment horizontal="center"/>
    </xf>
    <xf numFmtId="37" fontId="2" fillId="0" borderId="80" xfId="10" applyNumberFormat="1" applyFont="1" applyBorder="1" applyAlignment="1">
      <alignment horizontal="center"/>
    </xf>
    <xf numFmtId="37" fontId="4" fillId="29" borderId="91" xfId="10" applyNumberFormat="1" applyFont="1" applyFill="1" applyBorder="1" applyAlignment="1">
      <alignment horizontal="center"/>
    </xf>
    <xf numFmtId="37" fontId="2" fillId="0" borderId="39" xfId="10" applyNumberFormat="1" applyFont="1" applyBorder="1" applyAlignment="1">
      <alignment horizontal="center"/>
    </xf>
    <xf numFmtId="37" fontId="2" fillId="0" borderId="0" xfId="10" applyNumberFormat="1" applyFont="1" applyAlignment="1">
      <alignment horizontal="center"/>
    </xf>
    <xf numFmtId="37" fontId="4" fillId="29" borderId="0" xfId="10" applyNumberFormat="1" applyFont="1" applyFill="1" applyAlignment="1">
      <alignment horizontal="center"/>
    </xf>
    <xf numFmtId="37" fontId="4" fillId="29" borderId="39" xfId="10" applyNumberFormat="1" applyFont="1" applyFill="1" applyBorder="1" applyAlignment="1">
      <alignment horizontal="center"/>
    </xf>
    <xf numFmtId="43" fontId="2" fillId="5" borderId="65" xfId="9" applyFont="1" applyFill="1" applyBorder="1" applyAlignment="1">
      <alignment horizontal="centerContinuous"/>
    </xf>
    <xf numFmtId="166" fontId="2" fillId="5" borderId="60" xfId="9" applyNumberFormat="1" applyFont="1" applyFill="1" applyBorder="1" applyAlignment="1">
      <alignment horizontal="centerContinuous"/>
    </xf>
    <xf numFmtId="166" fontId="2" fillId="5" borderId="65" xfId="9" applyNumberFormat="1" applyFont="1" applyFill="1" applyBorder="1" applyAlignment="1">
      <alignment horizontal="centerContinuous"/>
    </xf>
    <xf numFmtId="37" fontId="2" fillId="5" borderId="39" xfId="9" applyNumberFormat="1" applyFont="1" applyFill="1" applyBorder="1" applyAlignment="1">
      <alignment horizontal="center"/>
    </xf>
    <xf numFmtId="37" fontId="2" fillId="5" borderId="65" xfId="9" applyNumberFormat="1" applyFont="1" applyFill="1" applyBorder="1" applyAlignment="1">
      <alignment horizontal="center"/>
    </xf>
    <xf numFmtId="166" fontId="2" fillId="5" borderId="9" xfId="9" applyNumberFormat="1" applyFont="1" applyFill="1" applyBorder="1" applyAlignment="1">
      <alignment horizontal="centerContinuous"/>
    </xf>
    <xf numFmtId="37" fontId="4" fillId="29" borderId="39" xfId="9" applyNumberFormat="1" applyFont="1" applyFill="1" applyBorder="1" applyAlignment="1">
      <alignment horizontal="center"/>
    </xf>
    <xf numFmtId="37" fontId="4" fillId="0" borderId="39" xfId="9" applyNumberFormat="1" applyFont="1" applyFill="1" applyBorder="1" applyAlignment="1">
      <alignment horizontal="center"/>
    </xf>
    <xf numFmtId="2" fontId="2" fillId="0" borderId="0" xfId="0" applyNumberFormat="1" applyFont="1"/>
    <xf numFmtId="37" fontId="2" fillId="0" borderId="0" xfId="0" applyNumberFormat="1" applyFont="1"/>
    <xf numFmtId="0" fontId="2" fillId="0" borderId="60" xfId="0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0" fontId="2" fillId="0" borderId="5" xfId="0" applyFont="1" applyBorder="1"/>
    <xf numFmtId="0" fontId="2" fillId="0" borderId="64" xfId="0" applyFont="1" applyBorder="1" applyAlignment="1">
      <alignment horizontal="center"/>
    </xf>
    <xf numFmtId="37" fontId="2" fillId="0" borderId="5" xfId="0" applyNumberFormat="1" applyFont="1" applyBorder="1" applyAlignment="1">
      <alignment horizontal="center"/>
    </xf>
    <xf numFmtId="37" fontId="2" fillId="0" borderId="64" xfId="0" applyNumberFormat="1" applyFont="1" applyBorder="1"/>
    <xf numFmtId="37" fontId="4" fillId="0" borderId="5" xfId="0" applyNumberFormat="1" applyFont="1" applyBorder="1" applyAlignment="1">
      <alignment horizontal="center"/>
    </xf>
    <xf numFmtId="37" fontId="2" fillId="5" borderId="0" xfId="9" applyNumberFormat="1" applyFont="1" applyFill="1" applyBorder="1"/>
    <xf numFmtId="37" fontId="5" fillId="5" borderId="0" xfId="8" applyNumberFormat="1" applyFill="1"/>
    <xf numFmtId="37" fontId="2" fillId="29" borderId="0" xfId="9" applyNumberFormat="1" applyFont="1" applyFill="1" applyBorder="1" applyAlignment="1">
      <alignment horizontal="center"/>
    </xf>
    <xf numFmtId="37" fontId="5" fillId="5" borderId="39" xfId="8" applyNumberFormat="1" applyFill="1" applyBorder="1" applyAlignment="1">
      <alignment horizontal="center"/>
    </xf>
    <xf numFmtId="166" fontId="39" fillId="5" borderId="0" xfId="9" applyNumberFormat="1" applyFont="1" applyFill="1" applyBorder="1" applyAlignment="1">
      <alignment horizontal="center"/>
    </xf>
    <xf numFmtId="37" fontId="2" fillId="0" borderId="65" xfId="9" applyNumberFormat="1" applyFont="1" applyFill="1" applyBorder="1" applyAlignment="1">
      <alignment horizontal="center"/>
    </xf>
    <xf numFmtId="37" fontId="4" fillId="31" borderId="41" xfId="9" applyNumberFormat="1" applyFont="1" applyFill="1" applyBorder="1" applyAlignment="1">
      <alignment horizontal="center"/>
    </xf>
    <xf numFmtId="0" fontId="5" fillId="5" borderId="16" xfId="8" applyFill="1" applyBorder="1"/>
    <xf numFmtId="37" fontId="4" fillId="31" borderId="11" xfId="9" applyNumberFormat="1" applyFont="1" applyFill="1" applyBorder="1" applyAlignment="1">
      <alignment horizontal="center"/>
    </xf>
    <xf numFmtId="0" fontId="90" fillId="0" borderId="0" xfId="0" applyFont="1"/>
    <xf numFmtId="43" fontId="96" fillId="0" borderId="0" xfId="9" applyFont="1" applyFill="1" applyBorder="1" applyAlignment="1"/>
    <xf numFmtId="43" fontId="2" fillId="5" borderId="11" xfId="9" applyFont="1" applyFill="1" applyBorder="1"/>
    <xf numFmtId="43" fontId="4" fillId="5" borderId="40" xfId="9" applyFont="1" applyFill="1" applyBorder="1"/>
    <xf numFmtId="166" fontId="4" fillId="5" borderId="11" xfId="9" applyNumberFormat="1" applyFont="1" applyFill="1" applyBorder="1"/>
    <xf numFmtId="173" fontId="2" fillId="5" borderId="39" xfId="9" applyNumberFormat="1" applyFont="1" applyFill="1" applyBorder="1" applyAlignment="1">
      <alignment horizontal="center"/>
    </xf>
    <xf numFmtId="37" fontId="4" fillId="0" borderId="0" xfId="10" applyNumberFormat="1" applyFont="1" applyAlignment="1">
      <alignment horizontal="center"/>
    </xf>
    <xf numFmtId="10" fontId="2" fillId="9" borderId="0" xfId="2" applyNumberFormat="1" applyFont="1" applyFill="1" applyBorder="1" applyAlignment="1">
      <alignment horizontal="center"/>
    </xf>
    <xf numFmtId="0" fontId="11" fillId="0" borderId="50" xfId="0" applyFont="1" applyBorder="1"/>
    <xf numFmtId="0" fontId="12" fillId="0" borderId="50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1" fillId="0" borderId="49" xfId="0" applyFont="1" applyBorder="1"/>
    <xf numFmtId="0" fontId="12" fillId="0" borderId="72" xfId="0" applyFont="1" applyBorder="1"/>
    <xf numFmtId="0" fontId="11" fillId="0" borderId="73" xfId="0" applyFont="1" applyBorder="1"/>
    <xf numFmtId="37" fontId="12" fillId="0" borderId="73" xfId="5" applyNumberFormat="1" applyFont="1" applyFill="1" applyBorder="1" applyAlignment="1">
      <alignment horizontal="center"/>
    </xf>
    <xf numFmtId="0" fontId="11" fillId="0" borderId="74" xfId="0" applyFont="1" applyBorder="1"/>
    <xf numFmtId="0" fontId="4" fillId="0" borderId="17" xfId="0" applyFont="1" applyBorder="1"/>
    <xf numFmtId="0" fontId="11" fillId="0" borderId="95" xfId="0" applyFont="1" applyBorder="1"/>
    <xf numFmtId="0" fontId="11" fillId="0" borderId="96" xfId="0" applyFont="1" applyBorder="1"/>
    <xf numFmtId="0" fontId="13" fillId="0" borderId="65" xfId="0" applyFont="1" applyBorder="1"/>
    <xf numFmtId="0" fontId="11" fillId="0" borderId="97" xfId="0" applyFont="1" applyBorder="1" applyAlignment="1">
      <alignment horizontal="right"/>
    </xf>
    <xf numFmtId="0" fontId="11" fillId="0" borderId="40" xfId="0" applyFont="1" applyBorder="1" applyAlignment="1">
      <alignment horizontal="center"/>
    </xf>
    <xf numFmtId="3" fontId="11" fillId="0" borderId="40" xfId="5" applyNumberFormat="1" applyFont="1" applyBorder="1" applyAlignment="1">
      <alignment horizontal="center"/>
    </xf>
    <xf numFmtId="10" fontId="11" fillId="0" borderId="40" xfId="2" applyNumberFormat="1" applyFont="1" applyBorder="1" applyAlignment="1">
      <alignment horizontal="center"/>
    </xf>
    <xf numFmtId="10" fontId="11" fillId="0" borderId="61" xfId="2" applyNumberFormat="1" applyFont="1" applyBorder="1" applyAlignment="1">
      <alignment horizontal="center"/>
    </xf>
    <xf numFmtId="3" fontId="11" fillId="0" borderId="42" xfId="5" applyNumberFormat="1" applyFont="1" applyBorder="1" applyAlignment="1">
      <alignment horizontal="center"/>
    </xf>
    <xf numFmtId="166" fontId="11" fillId="0" borderId="40" xfId="5" applyNumberFormat="1" applyFont="1" applyBorder="1" applyAlignment="1">
      <alignment horizontal="right"/>
    </xf>
    <xf numFmtId="0" fontId="13" fillId="0" borderId="81" xfId="0" applyFont="1" applyBorder="1"/>
    <xf numFmtId="166" fontId="11" fillId="0" borderId="71" xfId="5" applyNumberFormat="1" applyFont="1" applyBorder="1"/>
    <xf numFmtId="37" fontId="12" fillId="8" borderId="98" xfId="2" applyNumberFormat="1" applyFont="1" applyFill="1" applyBorder="1" applyAlignment="1">
      <alignment horizontal="center"/>
    </xf>
    <xf numFmtId="166" fontId="11" fillId="0" borderId="40" xfId="5" applyNumberFormat="1" applyFont="1" applyBorder="1" applyAlignment="1">
      <alignment horizontal="center"/>
    </xf>
    <xf numFmtId="9" fontId="11" fillId="7" borderId="40" xfId="2" applyFont="1" applyFill="1" applyBorder="1" applyAlignment="1">
      <alignment horizontal="center"/>
    </xf>
    <xf numFmtId="3" fontId="11" fillId="7" borderId="40" xfId="5" applyNumberFormat="1" applyFont="1" applyFill="1" applyBorder="1" applyAlignment="1">
      <alignment horizontal="center"/>
    </xf>
    <xf numFmtId="166" fontId="11" fillId="0" borderId="61" xfId="5" applyNumberFormat="1" applyFont="1" applyBorder="1"/>
    <xf numFmtId="0" fontId="4" fillId="0" borderId="99" xfId="0" applyFont="1" applyBorder="1"/>
    <xf numFmtId="166" fontId="11" fillId="0" borderId="100" xfId="5" applyNumberFormat="1" applyFont="1" applyBorder="1"/>
    <xf numFmtId="9" fontId="12" fillId="0" borderId="40" xfId="0" applyNumberFormat="1" applyFont="1" applyBorder="1" applyAlignment="1">
      <alignment horizontal="center"/>
    </xf>
    <xf numFmtId="0" fontId="12" fillId="0" borderId="11" xfId="0" applyFont="1" applyBorder="1"/>
    <xf numFmtId="3" fontId="12" fillId="0" borderId="12" xfId="5" applyNumberFormat="1" applyFont="1" applyBorder="1" applyAlignment="1">
      <alignment horizontal="center"/>
    </xf>
    <xf numFmtId="0" fontId="11" fillId="0" borderId="101" xfId="0" applyFont="1" applyBorder="1"/>
    <xf numFmtId="37" fontId="12" fillId="0" borderId="60" xfId="5" applyNumberFormat="1" applyFont="1" applyFill="1" applyBorder="1" applyAlignment="1">
      <alignment horizontal="center"/>
    </xf>
    <xf numFmtId="0" fontId="12" fillId="0" borderId="60" xfId="0" applyFont="1" applyBorder="1" applyAlignment="1">
      <alignment horizontal="center"/>
    </xf>
    <xf numFmtId="10" fontId="11" fillId="0" borderId="0" xfId="2" applyNumberFormat="1" applyFont="1" applyFill="1" applyBorder="1" applyAlignment="1">
      <alignment horizontal="center"/>
    </xf>
    <xf numFmtId="39" fontId="11" fillId="9" borderId="60" xfId="5" applyNumberFormat="1" applyFont="1" applyFill="1" applyBorder="1" applyAlignment="1">
      <alignment horizontal="center"/>
    </xf>
    <xf numFmtId="39" fontId="11" fillId="0" borderId="0" xfId="5" applyNumberFormat="1" applyFont="1" applyFill="1" applyBorder="1" applyAlignment="1">
      <alignment horizontal="center"/>
    </xf>
    <xf numFmtId="0" fontId="12" fillId="0" borderId="17" xfId="0" applyFont="1" applyBorder="1"/>
    <xf numFmtId="37" fontId="12" fillId="0" borderId="16" xfId="5" applyNumberFormat="1" applyFont="1" applyFill="1" applyBorder="1" applyAlignment="1">
      <alignment horizontal="center"/>
    </xf>
    <xf numFmtId="0" fontId="12" fillId="0" borderId="61" xfId="0" applyFont="1" applyBorder="1" applyAlignment="1">
      <alignment horizontal="center"/>
    </xf>
    <xf numFmtId="37" fontId="12" fillId="0" borderId="11" xfId="5" applyNumberFormat="1" applyFont="1" applyFill="1" applyBorder="1" applyAlignment="1">
      <alignment horizontal="center"/>
    </xf>
    <xf numFmtId="0" fontId="12" fillId="0" borderId="17" xfId="0" quotePrefix="1" applyFont="1" applyBorder="1"/>
    <xf numFmtId="0" fontId="98" fillId="0" borderId="0" xfId="557" applyFont="1" applyAlignment="1"/>
    <xf numFmtId="0" fontId="25" fillId="0" borderId="0" xfId="154" applyFont="1" applyAlignment="1">
      <alignment horizontal="left"/>
    </xf>
    <xf numFmtId="0" fontId="50" fillId="0" borderId="0" xfId="154" quotePrefix="1" applyFont="1" applyAlignment="1" applyProtection="1">
      <alignment horizontal="center"/>
      <protection locked="0"/>
    </xf>
    <xf numFmtId="0" fontId="2" fillId="0" borderId="0" xfId="154" applyFont="1"/>
    <xf numFmtId="0" fontId="2" fillId="0" borderId="0" xfId="154" applyFont="1" applyAlignment="1">
      <alignment horizontal="center"/>
    </xf>
    <xf numFmtId="0" fontId="50" fillId="0" borderId="0" xfId="154" applyFont="1" applyAlignment="1" applyProtection="1">
      <alignment horizontal="center"/>
      <protection locked="0"/>
    </xf>
    <xf numFmtId="0" fontId="12" fillId="0" borderId="0" xfId="154" applyFont="1"/>
    <xf numFmtId="164" fontId="2" fillId="0" borderId="0" xfId="29" applyNumberFormat="1" applyFont="1" applyFill="1" applyBorder="1" applyProtection="1"/>
    <xf numFmtId="164" fontId="2" fillId="0" borderId="0" xfId="29" applyNumberFormat="1" applyFont="1" applyFill="1" applyBorder="1" applyProtection="1">
      <protection locked="0"/>
    </xf>
    <xf numFmtId="0" fontId="24" fillId="0" borderId="0" xfId="154" applyFont="1" applyAlignment="1">
      <alignment horizontal="left"/>
    </xf>
    <xf numFmtId="164" fontId="99" fillId="0" borderId="0" xfId="29" applyNumberFormat="1" applyFont="1" applyProtection="1"/>
    <xf numFmtId="37" fontId="2" fillId="0" borderId="0" xfId="29" applyNumberFormat="1" applyFont="1" applyAlignment="1" applyProtection="1">
      <alignment horizontal="center"/>
    </xf>
    <xf numFmtId="174" fontId="2" fillId="0" borderId="0" xfId="154" applyNumberFormat="1" applyFont="1"/>
    <xf numFmtId="164" fontId="2" fillId="0" borderId="0" xfId="29" applyNumberFormat="1" applyFont="1"/>
    <xf numFmtId="9" fontId="2" fillId="0" borderId="0" xfId="154" applyNumberFormat="1" applyFont="1" applyAlignment="1">
      <alignment horizontal="center"/>
    </xf>
    <xf numFmtId="9" fontId="4" fillId="0" borderId="60" xfId="154" applyNumberFormat="1" applyFont="1" applyBorder="1" applyAlignment="1">
      <alignment horizontal="center"/>
    </xf>
    <xf numFmtId="0" fontId="4" fillId="0" borderId="60" xfId="154" applyFont="1" applyBorder="1" applyAlignment="1">
      <alignment horizontal="center"/>
    </xf>
    <xf numFmtId="164" fontId="2" fillId="0" borderId="0" xfId="29" applyNumberFormat="1" applyFont="1" applyAlignment="1" applyProtection="1">
      <alignment horizontal="center"/>
    </xf>
    <xf numFmtId="37" fontId="2" fillId="0" borderId="0" xfId="29" applyNumberFormat="1" applyFont="1" applyProtection="1"/>
    <xf numFmtId="3" fontId="2" fillId="0" borderId="0" xfId="154" applyNumberFormat="1" applyFont="1"/>
    <xf numFmtId="164" fontId="2" fillId="0" borderId="0" xfId="154" applyNumberFormat="1" applyFont="1"/>
    <xf numFmtId="0" fontId="4" fillId="0" borderId="0" xfId="154" applyFont="1"/>
    <xf numFmtId="10" fontId="2" fillId="0" borderId="0" xfId="154" applyNumberFormat="1" applyFont="1"/>
    <xf numFmtId="5" fontId="4" fillId="0" borderId="0" xfId="154" applyNumberFormat="1" applyFont="1" applyAlignment="1">
      <alignment horizontal="center"/>
    </xf>
    <xf numFmtId="164" fontId="99" fillId="0" borderId="0" xfId="29" applyNumberFormat="1" applyFont="1" applyAlignment="1" applyProtection="1">
      <alignment horizontal="center"/>
    </xf>
    <xf numFmtId="0" fontId="25" fillId="0" borderId="0" xfId="154" applyFont="1" applyAlignment="1">
      <alignment horizontal="center"/>
    </xf>
    <xf numFmtId="164" fontId="2" fillId="0" borderId="0" xfId="29" applyNumberFormat="1" applyFont="1" applyFill="1" applyAlignment="1" applyProtection="1">
      <alignment horizontal="center"/>
    </xf>
    <xf numFmtId="164" fontId="2" fillId="9" borderId="0" xfId="29" applyNumberFormat="1" applyFont="1" applyFill="1" applyAlignment="1" applyProtection="1">
      <alignment horizontal="center"/>
    </xf>
    <xf numFmtId="14" fontId="2" fillId="0" borderId="0" xfId="154" applyNumberFormat="1" applyFont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92" fillId="0" borderId="60" xfId="0" applyFont="1" applyBorder="1" applyAlignment="1">
      <alignment horizontal="center"/>
    </xf>
    <xf numFmtId="9" fontId="92" fillId="0" borderId="60" xfId="0" applyNumberFormat="1" applyFont="1" applyBorder="1" applyAlignment="1">
      <alignment horizontal="center"/>
    </xf>
    <xf numFmtId="0" fontId="77" fillId="0" borderId="60" xfId="0" applyFont="1" applyBorder="1"/>
    <xf numFmtId="0" fontId="77" fillId="0" borderId="62" xfId="0" applyFont="1" applyBorder="1"/>
    <xf numFmtId="9" fontId="11" fillId="0" borderId="0" xfId="2" applyFont="1"/>
    <xf numFmtId="37" fontId="11" fillId="0" borderId="18" xfId="0" applyNumberFormat="1" applyFont="1" applyBorder="1" applyAlignment="1">
      <alignment horizontal="center"/>
    </xf>
    <xf numFmtId="37" fontId="100" fillId="0" borderId="0" xfId="0" applyNumberFormat="1" applyFont="1"/>
    <xf numFmtId="10" fontId="2" fillId="9" borderId="32" xfId="1" applyNumberFormat="1" applyFont="1" applyFill="1" applyBorder="1" applyAlignment="1">
      <alignment horizontal="center"/>
    </xf>
    <xf numFmtId="0" fontId="12" fillId="28" borderId="9" xfId="0" applyFont="1" applyFill="1" applyBorder="1" applyAlignment="1">
      <alignment horizontal="center" vertical="center"/>
    </xf>
    <xf numFmtId="37" fontId="11" fillId="28" borderId="0" xfId="5" applyNumberFormat="1" applyFont="1" applyFill="1" applyBorder="1" applyAlignment="1">
      <alignment horizontal="center"/>
    </xf>
    <xf numFmtId="37" fontId="12" fillId="28" borderId="0" xfId="5" applyNumberFormat="1" applyFont="1" applyFill="1" applyBorder="1" applyAlignment="1">
      <alignment horizontal="center"/>
    </xf>
    <xf numFmtId="37" fontId="11" fillId="28" borderId="0" xfId="0" applyNumberFormat="1" applyFont="1" applyFill="1" applyAlignment="1">
      <alignment horizontal="center"/>
    </xf>
    <xf numFmtId="37" fontId="12" fillId="28" borderId="34" xfId="0" applyNumberFormat="1" applyFont="1" applyFill="1" applyBorder="1" applyAlignment="1">
      <alignment horizontal="center"/>
    </xf>
    <xf numFmtId="37" fontId="11" fillId="28" borderId="86" xfId="0" applyNumberFormat="1" applyFont="1" applyFill="1" applyBorder="1" applyAlignment="1">
      <alignment horizontal="center"/>
    </xf>
    <xf numFmtId="37" fontId="4" fillId="28" borderId="25" xfId="5" applyNumberFormat="1" applyFont="1" applyFill="1" applyBorder="1" applyAlignment="1">
      <alignment horizontal="center"/>
    </xf>
    <xf numFmtId="37" fontId="16" fillId="9" borderId="60" xfId="5" applyNumberFormat="1" applyFont="1" applyFill="1" applyBorder="1" applyAlignment="1">
      <alignment horizontal="center"/>
    </xf>
    <xf numFmtId="37" fontId="16" fillId="0" borderId="60" xfId="5" applyNumberFormat="1" applyFont="1" applyFill="1" applyBorder="1" applyAlignment="1">
      <alignment horizontal="center"/>
    </xf>
    <xf numFmtId="37" fontId="2" fillId="0" borderId="60" xfId="9" applyNumberFormat="1" applyFont="1" applyFill="1" applyBorder="1" applyAlignment="1">
      <alignment horizontal="center"/>
    </xf>
    <xf numFmtId="37" fontId="2" fillId="0" borderId="61" xfId="9" applyNumberFormat="1" applyFont="1" applyFill="1" applyBorder="1" applyAlignment="1">
      <alignment horizontal="center"/>
    </xf>
    <xf numFmtId="37" fontId="2" fillId="0" borderId="60" xfId="5" applyNumberFormat="1" applyFont="1" applyFill="1" applyBorder="1" applyAlignment="1">
      <alignment horizontal="center"/>
    </xf>
    <xf numFmtId="37" fontId="2" fillId="0" borderId="61" xfId="5" applyNumberFormat="1" applyFont="1" applyFill="1" applyBorder="1" applyAlignment="1">
      <alignment horizontal="center"/>
    </xf>
    <xf numFmtId="3" fontId="11" fillId="0" borderId="0" xfId="0" applyNumberFormat="1" applyFont="1"/>
    <xf numFmtId="0" fontId="30" fillId="0" borderId="0" xfId="0" applyFont="1" applyAlignment="1">
      <alignment horizontal="center"/>
    </xf>
    <xf numFmtId="0" fontId="11" fillId="0" borderId="2" xfId="0" applyFont="1" applyBorder="1"/>
    <xf numFmtId="37" fontId="11" fillId="0" borderId="3" xfId="0" applyNumberFormat="1" applyFont="1" applyBorder="1" applyAlignment="1">
      <alignment horizontal="center"/>
    </xf>
    <xf numFmtId="37" fontId="11" fillId="0" borderId="4" xfId="0" applyNumberFormat="1" applyFont="1" applyBorder="1" applyAlignment="1">
      <alignment horizontal="center"/>
    </xf>
    <xf numFmtId="0" fontId="16" fillId="0" borderId="0" xfId="0" applyFont="1" applyAlignment="1">
      <alignment wrapText="1"/>
    </xf>
    <xf numFmtId="0" fontId="16" fillId="0" borderId="0" xfId="0" quotePrefix="1" applyFont="1" applyAlignment="1">
      <alignment horizontal="center"/>
    </xf>
    <xf numFmtId="37" fontId="16" fillId="0" borderId="0" xfId="0" applyNumberFormat="1" applyFont="1" applyAlignment="1">
      <alignment horizontal="center"/>
    </xf>
    <xf numFmtId="0" fontId="71" fillId="0" borderId="0" xfId="0" quotePrefix="1" applyFont="1"/>
    <xf numFmtId="0" fontId="78" fillId="0" borderId="0" xfId="0" applyFont="1"/>
    <xf numFmtId="0" fontId="71" fillId="0" borderId="0" xfId="0" applyFont="1"/>
    <xf numFmtId="0" fontId="101" fillId="0" borderId="0" xfId="0" applyFont="1"/>
    <xf numFmtId="170" fontId="0" fillId="0" borderId="0" xfId="0" applyNumberFormat="1"/>
    <xf numFmtId="10" fontId="74" fillId="0" borderId="0" xfId="0" applyNumberFormat="1" applyFont="1"/>
    <xf numFmtId="0" fontId="12" fillId="6" borderId="102" xfId="0" applyFont="1" applyFill="1" applyBorder="1"/>
    <xf numFmtId="22" fontId="12" fillId="6" borderId="103" xfId="0" applyNumberFormat="1" applyFont="1" applyFill="1" applyBorder="1"/>
    <xf numFmtId="9" fontId="16" fillId="0" borderId="0" xfId="2" quotePrefix="1" applyFont="1" applyBorder="1" applyAlignment="1">
      <alignment horizontal="center"/>
    </xf>
    <xf numFmtId="0" fontId="12" fillId="0" borderId="0" xfId="0" quotePrefix="1" applyFont="1"/>
    <xf numFmtId="166" fontId="12" fillId="0" borderId="0" xfId="0" applyNumberFormat="1" applyFont="1" applyAlignment="1">
      <alignment horizontal="right"/>
    </xf>
    <xf numFmtId="9" fontId="27" fillId="0" borderId="0" xfId="0" applyNumberFormat="1" applyFont="1" applyAlignment="1">
      <alignment horizontal="left"/>
    </xf>
    <xf numFmtId="9" fontId="16" fillId="0" borderId="0" xfId="0" applyNumberFormat="1" applyFont="1" applyAlignment="1">
      <alignment horizontal="center"/>
    </xf>
    <xf numFmtId="0" fontId="33" fillId="0" borderId="60" xfId="0" quotePrefix="1" applyFont="1" applyBorder="1" applyAlignment="1">
      <alignment horizontal="center"/>
    </xf>
    <xf numFmtId="37" fontId="16" fillId="0" borderId="68" xfId="5" applyNumberFormat="1" applyFont="1" applyBorder="1" applyAlignment="1">
      <alignment horizontal="center"/>
    </xf>
    <xf numFmtId="37" fontId="16" fillId="0" borderId="6" xfId="5" applyNumberFormat="1" applyFont="1" applyBorder="1" applyAlignment="1">
      <alignment horizontal="center"/>
    </xf>
    <xf numFmtId="37" fontId="16" fillId="0" borderId="62" xfId="5" applyNumberFormat="1" applyFont="1" applyBorder="1" applyAlignment="1">
      <alignment horizontal="center"/>
    </xf>
    <xf numFmtId="44" fontId="11" fillId="0" borderId="0" xfId="0" applyNumberFormat="1" applyFont="1"/>
    <xf numFmtId="0" fontId="93" fillId="29" borderId="2" xfId="0" applyFont="1" applyFill="1" applyBorder="1"/>
    <xf numFmtId="37" fontId="4" fillId="29" borderId="3" xfId="5" applyNumberFormat="1" applyFont="1" applyFill="1" applyBorder="1" applyAlignment="1">
      <alignment horizontal="center"/>
    </xf>
    <xf numFmtId="37" fontId="4" fillId="29" borderId="4" xfId="5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right"/>
    </xf>
    <xf numFmtId="37" fontId="11" fillId="0" borderId="60" xfId="0" applyNumberFormat="1" applyFont="1" applyBorder="1" applyAlignment="1">
      <alignment horizontal="center"/>
    </xf>
    <xf numFmtId="0" fontId="51" fillId="0" borderId="0" xfId="154" quotePrefix="1" applyFont="1" applyAlignment="1" applyProtection="1">
      <alignment horizontal="left"/>
      <protection locked="0"/>
    </xf>
    <xf numFmtId="6" fontId="2" fillId="12" borderId="67" xfId="154" applyNumberFormat="1" applyFont="1" applyFill="1" applyBorder="1" applyAlignment="1">
      <alignment horizontal="center" vertical="center"/>
    </xf>
    <xf numFmtId="0" fontId="2" fillId="12" borderId="0" xfId="154" applyFont="1" applyFill="1"/>
    <xf numFmtId="6" fontId="2" fillId="12" borderId="0" xfId="154" applyNumberFormat="1" applyFont="1" applyFill="1" applyAlignment="1">
      <alignment horizontal="center" vertical="center"/>
    </xf>
    <xf numFmtId="6" fontId="2" fillId="12" borderId="60" xfId="154" applyNumberFormat="1" applyFont="1" applyFill="1" applyBorder="1" applyAlignment="1">
      <alignment horizontal="center" vertical="center"/>
    </xf>
    <xf numFmtId="9" fontId="4" fillId="12" borderId="7" xfId="2" applyFont="1" applyFill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37" fontId="12" fillId="0" borderId="42" xfId="0" applyNumberFormat="1" applyFont="1" applyBorder="1" applyAlignment="1">
      <alignment horizontal="center"/>
    </xf>
    <xf numFmtId="10" fontId="11" fillId="0" borderId="60" xfId="2" applyNumberFormat="1" applyFont="1" applyFill="1" applyBorder="1" applyAlignment="1">
      <alignment horizontal="center"/>
    </xf>
    <xf numFmtId="3" fontId="11" fillId="12" borderId="0" xfId="0" applyNumberFormat="1" applyFont="1" applyFill="1" applyAlignment="1">
      <alignment horizontal="center"/>
    </xf>
    <xf numFmtId="37" fontId="11" fillId="12" borderId="40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37" fontId="11" fillId="12" borderId="0" xfId="5" applyNumberFormat="1" applyFont="1" applyFill="1" applyBorder="1" applyAlignment="1">
      <alignment horizontal="center"/>
    </xf>
    <xf numFmtId="37" fontId="11" fillId="0" borderId="62" xfId="0" applyNumberFormat="1" applyFont="1" applyBorder="1" applyAlignment="1">
      <alignment horizontal="center"/>
    </xf>
    <xf numFmtId="37" fontId="11" fillId="0" borderId="68" xfId="0" applyNumberFormat="1" applyFont="1" applyBorder="1" applyAlignment="1">
      <alignment horizontal="center"/>
    </xf>
    <xf numFmtId="37" fontId="12" fillId="4" borderId="11" xfId="5" applyNumberFormat="1" applyFont="1" applyFill="1" applyBorder="1" applyAlignment="1">
      <alignment horizontal="center"/>
    </xf>
    <xf numFmtId="0" fontId="12" fillId="4" borderId="41" xfId="0" applyFont="1" applyFill="1" applyBorder="1"/>
    <xf numFmtId="166" fontId="11" fillId="4" borderId="11" xfId="5" applyNumberFormat="1" applyFont="1" applyFill="1" applyBorder="1"/>
    <xf numFmtId="169" fontId="11" fillId="4" borderId="11" xfId="5" applyNumberFormat="1" applyFont="1" applyFill="1" applyBorder="1"/>
    <xf numFmtId="169" fontId="11" fillId="4" borderId="104" xfId="5" applyNumberFormat="1" applyFont="1" applyFill="1" applyBorder="1"/>
    <xf numFmtId="0" fontId="12" fillId="0" borderId="70" xfId="0" applyFont="1" applyBorder="1"/>
    <xf numFmtId="9" fontId="11" fillId="0" borderId="9" xfId="2" applyFont="1" applyBorder="1"/>
    <xf numFmtId="37" fontId="11" fillId="0" borderId="9" xfId="5" applyNumberFormat="1" applyFont="1" applyBorder="1" applyAlignment="1">
      <alignment horizontal="center"/>
    </xf>
    <xf numFmtId="37" fontId="11" fillId="0" borderId="9" xfId="5" applyNumberFormat="1" applyFont="1" applyFill="1" applyBorder="1" applyAlignment="1">
      <alignment horizontal="center"/>
    </xf>
    <xf numFmtId="169" fontId="11" fillId="0" borderId="9" xfId="0" applyNumberFormat="1" applyFont="1" applyBorder="1"/>
    <xf numFmtId="9" fontId="11" fillId="0" borderId="60" xfId="2" applyFont="1" applyFill="1" applyBorder="1" applyAlignment="1">
      <alignment horizontal="center"/>
    </xf>
    <xf numFmtId="0" fontId="16" fillId="0" borderId="67" xfId="0" applyFont="1" applyBorder="1"/>
    <xf numFmtId="37" fontId="12" fillId="0" borderId="63" xfId="5" applyNumberFormat="1" applyFont="1" applyBorder="1" applyAlignment="1">
      <alignment horizontal="center"/>
    </xf>
    <xf numFmtId="9" fontId="11" fillId="12" borderId="0" xfId="2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12" fillId="29" borderId="8" xfId="0" applyFont="1" applyFill="1" applyBorder="1"/>
    <xf numFmtId="166" fontId="11" fillId="29" borderId="9" xfId="5" applyNumberFormat="1" applyFont="1" applyFill="1" applyBorder="1"/>
    <xf numFmtId="37" fontId="12" fillId="29" borderId="9" xfId="5" applyNumberFormat="1" applyFont="1" applyFill="1" applyBorder="1" applyAlignment="1">
      <alignment horizontal="center"/>
    </xf>
    <xf numFmtId="166" fontId="11" fillId="0" borderId="63" xfId="5" applyNumberFormat="1" applyFont="1" applyFill="1" applyBorder="1"/>
    <xf numFmtId="166" fontId="11" fillId="0" borderId="64" xfId="5" applyNumberFormat="1" applyFont="1" applyFill="1" applyBorder="1"/>
    <xf numFmtId="166" fontId="11" fillId="0" borderId="62" xfId="5" applyNumberFormat="1" applyFont="1" applyFill="1" applyBorder="1"/>
    <xf numFmtId="9" fontId="0" fillId="0" borderId="3" xfId="0" applyNumberFormat="1" applyBorder="1" applyAlignment="1">
      <alignment horizontal="center"/>
    </xf>
    <xf numFmtId="0" fontId="12" fillId="29" borderId="50" xfId="0" applyFont="1" applyFill="1" applyBorder="1" applyAlignment="1">
      <alignment horizontal="center" vertical="center" wrapText="1"/>
    </xf>
    <xf numFmtId="0" fontId="12" fillId="29" borderId="36" xfId="0" applyFont="1" applyFill="1" applyBorder="1" applyAlignment="1">
      <alignment horizontal="center" vertical="center" wrapText="1"/>
    </xf>
    <xf numFmtId="0" fontId="4" fillId="29" borderId="35" xfId="6" applyFont="1" applyFill="1" applyBorder="1" applyAlignment="1">
      <alignment horizontal="center" vertical="center" wrapText="1"/>
    </xf>
    <xf numFmtId="0" fontId="12" fillId="29" borderId="92" xfId="0" applyFont="1" applyFill="1" applyBorder="1" applyAlignment="1">
      <alignment horizontal="center" vertical="center" wrapText="1"/>
    </xf>
    <xf numFmtId="9" fontId="35" fillId="29" borderId="76" xfId="0" applyNumberFormat="1" applyFont="1" applyFill="1" applyBorder="1" applyAlignment="1">
      <alignment horizontal="center" vertical="center" wrapText="1"/>
    </xf>
    <xf numFmtId="9" fontId="12" fillId="29" borderId="76" xfId="0" applyNumberFormat="1" applyFont="1" applyFill="1" applyBorder="1" applyAlignment="1">
      <alignment horizontal="center" vertical="center" wrapText="1"/>
    </xf>
    <xf numFmtId="9" fontId="12" fillId="29" borderId="93" xfId="0" applyNumberFormat="1" applyFont="1" applyFill="1" applyBorder="1" applyAlignment="1">
      <alignment horizontal="center" vertical="center" wrapText="1"/>
    </xf>
    <xf numFmtId="0" fontId="16" fillId="0" borderId="65" xfId="0" applyFont="1" applyBorder="1"/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/>
    </xf>
    <xf numFmtId="166" fontId="16" fillId="0" borderId="9" xfId="5" applyNumberFormat="1" applyFont="1" applyFill="1" applyBorder="1" applyAlignment="1">
      <alignment horizontal="center" wrapText="1"/>
    </xf>
    <xf numFmtId="37" fontId="11" fillId="0" borderId="67" xfId="5" applyNumberFormat="1" applyFont="1" applyFill="1" applyBorder="1" applyAlignment="1">
      <alignment horizontal="center"/>
    </xf>
    <xf numFmtId="37" fontId="11" fillId="0" borderId="39" xfId="0" applyNumberFormat="1" applyFont="1" applyBorder="1" applyAlignment="1">
      <alignment horizontal="center"/>
    </xf>
    <xf numFmtId="37" fontId="11" fillId="0" borderId="65" xfId="0" applyNumberFormat="1" applyFont="1" applyBorder="1" applyAlignment="1">
      <alignment horizontal="center"/>
    </xf>
    <xf numFmtId="0" fontId="11" fillId="0" borderId="81" xfId="0" applyFont="1" applyBorder="1"/>
    <xf numFmtId="166" fontId="16" fillId="0" borderId="60" xfId="5" applyNumberFormat="1" applyFont="1" applyFill="1" applyBorder="1" applyAlignment="1">
      <alignment horizontal="center"/>
    </xf>
    <xf numFmtId="169" fontId="16" fillId="0" borderId="60" xfId="5" applyNumberFormat="1" applyFont="1" applyFill="1" applyBorder="1"/>
    <xf numFmtId="37" fontId="12" fillId="0" borderId="9" xfId="5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4" fillId="4" borderId="3" xfId="6" applyFont="1" applyFill="1" applyBorder="1" applyAlignment="1">
      <alignment horizontal="center" vertical="center" wrapText="1"/>
    </xf>
    <xf numFmtId="9" fontId="12" fillId="4" borderId="3" xfId="0" applyNumberFormat="1" applyFont="1" applyFill="1" applyBorder="1" applyAlignment="1">
      <alignment horizontal="center" vertical="center" wrapText="1"/>
    </xf>
    <xf numFmtId="9" fontId="12" fillId="4" borderId="4" xfId="0" applyNumberFormat="1" applyFont="1" applyFill="1" applyBorder="1" applyAlignment="1">
      <alignment horizontal="center" vertical="center" wrapText="1"/>
    </xf>
    <xf numFmtId="9" fontId="11" fillId="0" borderId="16" xfId="2" applyFont="1" applyFill="1" applyBorder="1"/>
    <xf numFmtId="166" fontId="11" fillId="0" borderId="16" xfId="5" applyNumberFormat="1" applyFont="1" applyFill="1" applyBorder="1"/>
    <xf numFmtId="166" fontId="16" fillId="0" borderId="50" xfId="5" applyNumberFormat="1" applyFont="1" applyFill="1" applyBorder="1" applyAlignment="1">
      <alignment horizontal="center" wrapText="1"/>
    </xf>
    <xf numFmtId="166" fontId="11" fillId="0" borderId="16" xfId="0" applyNumberFormat="1" applyFont="1" applyBorder="1"/>
    <xf numFmtId="37" fontId="11" fillId="0" borderId="105" xfId="0" applyNumberFormat="1" applyFont="1" applyBorder="1" applyAlignment="1">
      <alignment horizontal="center"/>
    </xf>
    <xf numFmtId="0" fontId="16" fillId="0" borderId="49" xfId="0" applyFont="1" applyBorder="1"/>
    <xf numFmtId="37" fontId="11" fillId="0" borderId="106" xfId="0" applyNumberFormat="1" applyFont="1" applyBorder="1" applyAlignment="1">
      <alignment horizontal="center"/>
    </xf>
    <xf numFmtId="169" fontId="11" fillId="0" borderId="63" xfId="0" applyNumberFormat="1" applyFont="1" applyBorder="1"/>
    <xf numFmtId="169" fontId="11" fillId="0" borderId="94" xfId="0" applyNumberFormat="1" applyFont="1" applyBorder="1"/>
    <xf numFmtId="169" fontId="11" fillId="4" borderId="107" xfId="5" applyNumberFormat="1" applyFont="1" applyFill="1" applyBorder="1"/>
    <xf numFmtId="169" fontId="11" fillId="0" borderId="7" xfId="0" applyNumberFormat="1" applyFont="1" applyBorder="1"/>
    <xf numFmtId="169" fontId="11" fillId="0" borderId="108" xfId="0" applyNumberFormat="1" applyFont="1" applyBorder="1"/>
    <xf numFmtId="9" fontId="28" fillId="0" borderId="0" xfId="0" applyNumberFormat="1" applyFont="1" applyAlignment="1">
      <alignment horizontal="center"/>
    </xf>
    <xf numFmtId="9" fontId="28" fillId="0" borderId="40" xfId="0" applyNumberFormat="1" applyFont="1" applyBorder="1" applyAlignment="1">
      <alignment horizontal="center"/>
    </xf>
    <xf numFmtId="0" fontId="27" fillId="0" borderId="11" xfId="0" quotePrefix="1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9" fontId="35" fillId="4" borderId="2" xfId="0" applyNumberFormat="1" applyFont="1" applyFill="1" applyBorder="1" applyAlignment="1">
      <alignment horizontal="center" vertical="center" wrapText="1"/>
    </xf>
    <xf numFmtId="37" fontId="11" fillId="0" borderId="109" xfId="0" applyNumberFormat="1" applyFont="1" applyBorder="1" applyAlignment="1">
      <alignment horizontal="center"/>
    </xf>
    <xf numFmtId="37" fontId="11" fillId="0" borderId="110" xfId="0" applyNumberFormat="1" applyFont="1" applyBorder="1" applyAlignment="1">
      <alignment horizontal="center"/>
    </xf>
    <xf numFmtId="37" fontId="11" fillId="0" borderId="83" xfId="0" applyNumberFormat="1" applyFont="1" applyBorder="1" applyAlignment="1">
      <alignment horizontal="center"/>
    </xf>
    <xf numFmtId="169" fontId="11" fillId="0" borderId="110" xfId="0" applyNumberFormat="1" applyFont="1" applyBorder="1"/>
    <xf numFmtId="169" fontId="11" fillId="0" borderId="83" xfId="0" applyNumberFormat="1" applyFont="1" applyBorder="1"/>
    <xf numFmtId="169" fontId="11" fillId="0" borderId="77" xfId="0" applyNumberFormat="1" applyFont="1" applyBorder="1"/>
    <xf numFmtId="169" fontId="11" fillId="4" borderId="41" xfId="5" applyNumberFormat="1" applyFont="1" applyFill="1" applyBorder="1"/>
    <xf numFmtId="166" fontId="11" fillId="0" borderId="9" xfId="0" applyNumberFormat="1" applyFont="1" applyBorder="1"/>
    <xf numFmtId="0" fontId="11" fillId="0" borderId="7" xfId="0" applyFont="1" applyBorder="1"/>
    <xf numFmtId="9" fontId="11" fillId="12" borderId="60" xfId="2" applyFont="1" applyFill="1" applyBorder="1" applyAlignment="1">
      <alignment horizontal="center"/>
    </xf>
    <xf numFmtId="37" fontId="2" fillId="9" borderId="0" xfId="29" applyNumberFormat="1" applyFont="1" applyFill="1" applyAlignment="1" applyProtection="1">
      <alignment horizontal="center"/>
    </xf>
    <xf numFmtId="0" fontId="11" fillId="0" borderId="14" xfId="0" applyFont="1" applyBorder="1" applyAlignment="1">
      <alignment horizontal="center"/>
    </xf>
    <xf numFmtId="166" fontId="16" fillId="0" borderId="14" xfId="5" applyNumberFormat="1" applyFont="1" applyFill="1" applyBorder="1" applyAlignment="1">
      <alignment horizontal="center"/>
    </xf>
    <xf numFmtId="37" fontId="11" fillId="0" borderId="66" xfId="0" applyNumberFormat="1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63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40" xfId="0" applyFont="1" applyBorder="1" applyAlignment="1">
      <alignment horizontal="center"/>
    </xf>
    <xf numFmtId="37" fontId="2" fillId="0" borderId="0" xfId="9" applyNumberFormat="1" applyFont="1" applyFill="1" applyBorder="1" applyAlignment="1">
      <alignment horizontal="center"/>
    </xf>
    <xf numFmtId="37" fontId="11" fillId="0" borderId="46" xfId="5" applyNumberFormat="1" applyFont="1" applyFill="1" applyBorder="1" applyAlignment="1">
      <alignment horizontal="center"/>
    </xf>
    <xf numFmtId="181" fontId="11" fillId="0" borderId="46" xfId="5" applyNumberFormat="1" applyFont="1" applyFill="1" applyBorder="1" applyAlignment="1">
      <alignment horizontal="center"/>
    </xf>
    <xf numFmtId="37" fontId="11" fillId="0" borderId="44" xfId="5" applyNumberFormat="1" applyFont="1" applyFill="1" applyBorder="1" applyAlignment="1">
      <alignment horizontal="center"/>
    </xf>
    <xf numFmtId="181" fontId="11" fillId="0" borderId="44" xfId="5" applyNumberFormat="1" applyFont="1" applyFill="1" applyBorder="1" applyAlignment="1">
      <alignment horizontal="center"/>
    </xf>
    <xf numFmtId="37" fontId="11" fillId="12" borderId="46" xfId="5" applyNumberFormat="1" applyFont="1" applyFill="1" applyBorder="1" applyAlignment="1">
      <alignment horizontal="center"/>
    </xf>
    <xf numFmtId="37" fontId="11" fillId="0" borderId="46" xfId="1" applyNumberFormat="1" applyFont="1" applyFill="1" applyBorder="1" applyAlignment="1">
      <alignment horizontal="center"/>
    </xf>
    <xf numFmtId="37" fontId="11" fillId="0" borderId="44" xfId="1" applyNumberFormat="1" applyFont="1" applyFill="1" applyBorder="1" applyAlignment="1">
      <alignment horizontal="center"/>
    </xf>
    <xf numFmtId="0" fontId="11" fillId="0" borderId="39" xfId="0" applyFont="1" applyBorder="1" applyAlignment="1">
      <alignment horizontal="left" indent="1"/>
    </xf>
    <xf numFmtId="0" fontId="11" fillId="0" borderId="41" xfId="0" applyFont="1" applyBorder="1" applyAlignment="1">
      <alignment horizontal="left" indent="1"/>
    </xf>
    <xf numFmtId="0" fontId="12" fillId="0" borderId="11" xfId="0" applyFont="1" applyBorder="1" applyAlignment="1">
      <alignment vertical="center"/>
    </xf>
    <xf numFmtId="164" fontId="12" fillId="0" borderId="44" xfId="1" applyNumberFormat="1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1" fillId="0" borderId="16" xfId="0" quotePrefix="1" applyFont="1" applyBorder="1"/>
    <xf numFmtId="0" fontId="11" fillId="0" borderId="11" xfId="0" quotePrefix="1" applyFont="1" applyBorder="1"/>
    <xf numFmtId="0" fontId="11" fillId="0" borderId="0" xfId="0" quotePrefix="1" applyFont="1" applyAlignment="1">
      <alignment vertical="top" wrapText="1"/>
    </xf>
    <xf numFmtId="0" fontId="11" fillId="10" borderId="17" xfId="0" quotePrefix="1" applyFont="1" applyFill="1" applyBorder="1"/>
    <xf numFmtId="0" fontId="11" fillId="12" borderId="39" xfId="0" quotePrefix="1" applyFont="1" applyFill="1" applyBorder="1"/>
    <xf numFmtId="0" fontId="11" fillId="0" borderId="11" xfId="0" quotePrefix="1" applyFont="1" applyBorder="1" applyAlignment="1">
      <alignment vertical="top" wrapText="1"/>
    </xf>
    <xf numFmtId="0" fontId="11" fillId="0" borderId="42" xfId="0" quotePrefix="1" applyFont="1" applyBorder="1" applyAlignment="1">
      <alignment vertical="top" wrapText="1"/>
    </xf>
    <xf numFmtId="0" fontId="11" fillId="0" borderId="16" xfId="0" quotePrefix="1" applyFont="1" applyBorder="1" applyAlignment="1">
      <alignment vertical="top" wrapText="1"/>
    </xf>
    <xf numFmtId="0" fontId="11" fillId="0" borderId="18" xfId="0" quotePrefix="1" applyFont="1" applyBorder="1" applyAlignment="1">
      <alignment vertical="top" wrapText="1"/>
    </xf>
    <xf numFmtId="0" fontId="11" fillId="0" borderId="40" xfId="0" quotePrefix="1" applyFont="1" applyBorder="1" applyAlignment="1">
      <alignment vertical="top" wrapText="1"/>
    </xf>
    <xf numFmtId="37" fontId="51" fillId="0" borderId="0" xfId="54" applyNumberFormat="1" applyFont="1" applyAlignment="1">
      <alignment horizontal="center"/>
    </xf>
    <xf numFmtId="10" fontId="4" fillId="0" borderId="60" xfId="14" applyNumberFormat="1" applyFont="1" applyBorder="1" applyAlignment="1">
      <alignment horizontal="center"/>
    </xf>
    <xf numFmtId="3" fontId="2" fillId="0" borderId="0" xfId="54" applyNumberFormat="1" applyFont="1" applyAlignment="1">
      <alignment horizontal="center"/>
    </xf>
    <xf numFmtId="0" fontId="48" fillId="0" borderId="0" xfId="54" applyFont="1" applyAlignment="1">
      <alignment horizontal="center"/>
    </xf>
    <xf numFmtId="0" fontId="2" fillId="0" borderId="17" xfId="54" applyFont="1" applyBorder="1"/>
    <xf numFmtId="0" fontId="2" fillId="0" borderId="16" xfId="54" applyFont="1" applyBorder="1"/>
    <xf numFmtId="10" fontId="4" fillId="0" borderId="16" xfId="14" applyNumberFormat="1" applyFont="1" applyBorder="1" applyAlignment="1">
      <alignment horizontal="center"/>
    </xf>
    <xf numFmtId="0" fontId="2" fillId="0" borderId="39" xfId="54" applyFont="1" applyBorder="1" applyAlignment="1">
      <alignment horizontal="center"/>
    </xf>
    <xf numFmtId="187" fontId="2" fillId="0" borderId="0" xfId="54" applyNumberFormat="1" applyFont="1" applyAlignment="1">
      <alignment horizontal="center"/>
    </xf>
    <xf numFmtId="3" fontId="2" fillId="0" borderId="40" xfId="54" applyNumberFormat="1" applyFont="1" applyBorder="1" applyAlignment="1">
      <alignment horizontal="center"/>
    </xf>
    <xf numFmtId="10" fontId="2" fillId="0" borderId="0" xfId="14" applyNumberFormat="1" applyFont="1" applyBorder="1" applyAlignment="1">
      <alignment horizontal="center"/>
    </xf>
    <xf numFmtId="10" fontId="2" fillId="0" borderId="11" xfId="14" applyNumberFormat="1" applyFont="1" applyBorder="1" applyAlignment="1">
      <alignment horizontal="center"/>
    </xf>
    <xf numFmtId="3" fontId="11" fillId="0" borderId="7" xfId="5" applyNumberFormat="1" applyFont="1" applyFill="1" applyBorder="1" applyAlignment="1">
      <alignment horizontal="center"/>
    </xf>
    <xf numFmtId="165" fontId="2" fillId="0" borderId="7" xfId="2" applyNumberFormat="1" applyFont="1" applyFill="1" applyBorder="1" applyAlignment="1">
      <alignment horizontal="center"/>
    </xf>
    <xf numFmtId="3" fontId="2" fillId="0" borderId="60" xfId="54" applyNumberFormat="1" applyFont="1" applyBorder="1" applyAlignment="1">
      <alignment horizontal="center"/>
    </xf>
    <xf numFmtId="0" fontId="2" fillId="0" borderId="16" xfId="54" applyFont="1" applyBorder="1" applyAlignment="1">
      <alignment horizontal="center"/>
    </xf>
    <xf numFmtId="0" fontId="2" fillId="0" borderId="18" xfId="54" applyFont="1" applyBorder="1"/>
    <xf numFmtId="0" fontId="71" fillId="0" borderId="0" xfId="54" applyFont="1" applyAlignment="1">
      <alignment horizontal="center"/>
    </xf>
    <xf numFmtId="0" fontId="71" fillId="0" borderId="0" xfId="54" applyFont="1"/>
    <xf numFmtId="0" fontId="71" fillId="0" borderId="40" xfId="54" applyFont="1" applyBorder="1"/>
    <xf numFmtId="3" fontId="4" fillId="0" borderId="11" xfId="54" applyNumberFormat="1" applyFont="1" applyBorder="1" applyAlignment="1">
      <alignment horizontal="center"/>
    </xf>
    <xf numFmtId="0" fontId="102" fillId="0" borderId="0" xfId="554" applyFont="1" applyAlignment="1">
      <alignment horizontal="center"/>
    </xf>
    <xf numFmtId="43" fontId="4" fillId="5" borderId="40" xfId="9" applyFont="1" applyFill="1" applyBorder="1" applyAlignment="1">
      <alignment horizontal="left"/>
    </xf>
    <xf numFmtId="37" fontId="11" fillId="12" borderId="0" xfId="0" applyNumberFormat="1" applyFont="1" applyFill="1" applyAlignment="1">
      <alignment horizontal="center"/>
    </xf>
    <xf numFmtId="3" fontId="11" fillId="12" borderId="7" xfId="5" applyNumberFormat="1" applyFont="1" applyFill="1" applyBorder="1" applyAlignment="1">
      <alignment horizontal="center"/>
    </xf>
    <xf numFmtId="0" fontId="77" fillId="0" borderId="64" xfId="0" applyFont="1" applyBorder="1"/>
    <xf numFmtId="0" fontId="77" fillId="0" borderId="66" xfId="0" applyFont="1" applyBorder="1"/>
    <xf numFmtId="0" fontId="11" fillId="0" borderId="67" xfId="0" applyFont="1" applyBorder="1" applyAlignment="1">
      <alignment horizontal="right"/>
    </xf>
    <xf numFmtId="10" fontId="11" fillId="0" borderId="68" xfId="2" applyNumberFormat="1" applyFont="1" applyBorder="1" applyAlignment="1">
      <alignment horizontal="center"/>
    </xf>
    <xf numFmtId="37" fontId="11" fillId="12" borderId="60" xfId="0" applyNumberFormat="1" applyFont="1" applyFill="1" applyBorder="1" applyAlignment="1">
      <alignment horizontal="center"/>
    </xf>
    <xf numFmtId="10" fontId="11" fillId="12" borderId="29" xfId="0" applyNumberFormat="1" applyFont="1" applyFill="1" applyBorder="1" applyAlignment="1">
      <alignment horizontal="center"/>
    </xf>
    <xf numFmtId="9" fontId="11" fillId="7" borderId="7" xfId="0" applyNumberFormat="1" applyFont="1" applyFill="1" applyBorder="1" applyAlignment="1">
      <alignment horizontal="center"/>
    </xf>
    <xf numFmtId="37" fontId="11" fillId="9" borderId="32" xfId="0" applyNumberFormat="1" applyFont="1" applyFill="1" applyBorder="1" applyAlignment="1">
      <alignment horizontal="center"/>
    </xf>
    <xf numFmtId="10" fontId="2" fillId="9" borderId="7" xfId="1" applyNumberFormat="1" applyFont="1" applyFill="1" applyBorder="1" applyAlignment="1">
      <alignment horizontal="center"/>
    </xf>
    <xf numFmtId="37" fontId="11" fillId="12" borderId="19" xfId="5" applyNumberFormat="1" applyFont="1" applyFill="1" applyBorder="1" applyAlignment="1">
      <alignment horizontal="center"/>
    </xf>
    <xf numFmtId="37" fontId="11" fillId="12" borderId="7" xfId="0" applyNumberFormat="1" applyFont="1" applyFill="1" applyBorder="1" applyAlignment="1">
      <alignment horizontal="center"/>
    </xf>
    <xf numFmtId="37" fontId="11" fillId="12" borderId="20" xfId="5" applyNumberFormat="1" applyFont="1" applyFill="1" applyBorder="1" applyAlignment="1">
      <alignment horizontal="center"/>
    </xf>
    <xf numFmtId="37" fontId="11" fillId="12" borderId="60" xfId="5" applyNumberFormat="1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9" fontId="11" fillId="12" borderId="67" xfId="2" applyFont="1" applyFill="1" applyBorder="1" applyAlignment="1">
      <alignment horizontal="center"/>
    </xf>
    <xf numFmtId="0" fontId="12" fillId="0" borderId="46" xfId="0" applyFont="1" applyBorder="1" applyAlignment="1">
      <alignment horizontal="center"/>
    </xf>
    <xf numFmtId="166" fontId="11" fillId="0" borderId="68" xfId="5" applyNumberFormat="1" applyFont="1" applyFill="1" applyBorder="1"/>
    <xf numFmtId="37" fontId="11" fillId="0" borderId="14" xfId="5" applyNumberFormat="1" applyFont="1" applyFill="1" applyBorder="1" applyAlignment="1">
      <alignment horizontal="center"/>
    </xf>
    <xf numFmtId="37" fontId="11" fillId="0" borderId="15" xfId="5" applyNumberFormat="1" applyFont="1" applyFill="1" applyBorder="1" applyAlignment="1">
      <alignment horizontal="center"/>
    </xf>
    <xf numFmtId="37" fontId="11" fillId="0" borderId="63" xfId="5" applyNumberFormat="1" applyFont="1" applyFill="1" applyBorder="1" applyAlignment="1">
      <alignment horizontal="center"/>
    </xf>
    <xf numFmtId="0" fontId="2" fillId="0" borderId="41" xfId="0" applyFont="1" applyBorder="1"/>
    <xf numFmtId="3" fontId="2" fillId="9" borderId="0" xfId="14" applyNumberFormat="1" applyFont="1" applyFill="1" applyBorder="1" applyAlignment="1">
      <alignment horizontal="center"/>
    </xf>
    <xf numFmtId="3" fontId="2" fillId="9" borderId="0" xfId="54" applyNumberFormat="1" applyFont="1" applyFill="1" applyAlignment="1">
      <alignment horizontal="center"/>
    </xf>
    <xf numFmtId="4" fontId="11" fillId="0" borderId="40" xfId="5" applyNumberFormat="1" applyFont="1" applyFill="1" applyBorder="1" applyAlignment="1">
      <alignment horizontal="center"/>
    </xf>
    <xf numFmtId="0" fontId="11" fillId="29" borderId="0" xfId="0" applyFont="1" applyFill="1"/>
    <xf numFmtId="0" fontId="11" fillId="29" borderId="0" xfId="0" applyFont="1" applyFill="1" applyAlignment="1">
      <alignment horizontal="center"/>
    </xf>
    <xf numFmtId="39" fontId="11" fillId="12" borderId="0" xfId="5" applyNumberFormat="1" applyFont="1" applyFill="1" applyBorder="1" applyAlignment="1">
      <alignment horizontal="center"/>
    </xf>
    <xf numFmtId="0" fontId="11" fillId="0" borderId="66" xfId="0" applyFont="1" applyBorder="1"/>
    <xf numFmtId="0" fontId="29" fillId="0" borderId="17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1" xfId="0" applyBorder="1"/>
    <xf numFmtId="0" fontId="11" fillId="0" borderId="66" xfId="0" applyFont="1" applyBorder="1" applyAlignment="1">
      <alignment horizontal="center"/>
    </xf>
    <xf numFmtId="166" fontId="11" fillId="0" borderId="14" xfId="0" applyNumberFormat="1" applyFont="1" applyBorder="1"/>
    <xf numFmtId="166" fontId="11" fillId="0" borderId="111" xfId="0" applyNumberFormat="1" applyFont="1" applyBorder="1"/>
    <xf numFmtId="0" fontId="11" fillId="0" borderId="5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12" fillId="29" borderId="41" xfId="0" applyFont="1" applyFill="1" applyBorder="1"/>
    <xf numFmtId="0" fontId="11" fillId="29" borderId="11" xfId="0" applyFont="1" applyFill="1" applyBorder="1"/>
    <xf numFmtId="37" fontId="12" fillId="29" borderId="42" xfId="0" applyNumberFormat="1" applyFont="1" applyFill="1" applyBorder="1" applyAlignment="1">
      <alignment horizontal="center"/>
    </xf>
    <xf numFmtId="0" fontId="101" fillId="0" borderId="0" xfId="0" applyFont="1" applyAlignment="1">
      <alignment horizontal="left" indent="1"/>
    </xf>
    <xf numFmtId="0" fontId="2" fillId="0" borderId="40" xfId="0" applyFont="1" applyBorder="1"/>
    <xf numFmtId="0" fontId="2" fillId="0" borderId="42" xfId="0" applyFont="1" applyBorder="1"/>
    <xf numFmtId="43" fontId="2" fillId="0" borderId="0" xfId="0" applyNumberFormat="1" applyFont="1"/>
    <xf numFmtId="0" fontId="2" fillId="5" borderId="0" xfId="8" applyFont="1" applyFill="1"/>
    <xf numFmtId="0" fontId="94" fillId="0" borderId="0" xfId="0" applyFont="1"/>
    <xf numFmtId="166" fontId="103" fillId="0" borderId="0" xfId="5" applyNumberFormat="1" applyFont="1"/>
    <xf numFmtId="37" fontId="11" fillId="0" borderId="33" xfId="0" applyNumberFormat="1" applyFont="1" applyBorder="1" applyAlignment="1">
      <alignment horizontal="center"/>
    </xf>
    <xf numFmtId="43" fontId="2" fillId="5" borderId="18" xfId="9" applyFont="1" applyFill="1" applyBorder="1"/>
    <xf numFmtId="43" fontId="2" fillId="5" borderId="61" xfId="9" applyFont="1" applyFill="1" applyBorder="1" applyAlignment="1">
      <alignment horizontal="center"/>
    </xf>
    <xf numFmtId="43" fontId="2" fillId="0" borderId="40" xfId="9" applyFont="1" applyFill="1" applyBorder="1"/>
    <xf numFmtId="9" fontId="4" fillId="9" borderId="40" xfId="2" applyFont="1" applyFill="1" applyBorder="1" applyAlignment="1">
      <alignment horizontal="left"/>
    </xf>
    <xf numFmtId="43" fontId="30" fillId="5" borderId="40" xfId="9" applyFont="1" applyFill="1" applyBorder="1"/>
    <xf numFmtId="43" fontId="30" fillId="0" borderId="40" xfId="9" applyFont="1" applyFill="1" applyBorder="1"/>
    <xf numFmtId="166" fontId="2" fillId="5" borderId="112" xfId="9" applyNumberFormat="1" applyFont="1" applyFill="1" applyBorder="1"/>
    <xf numFmtId="166" fontId="2" fillId="5" borderId="114" xfId="9" applyNumberFormat="1" applyFont="1" applyFill="1" applyBorder="1" applyAlignment="1">
      <alignment horizontal="centerContinuous"/>
    </xf>
    <xf numFmtId="166" fontId="2" fillId="5" borderId="116" xfId="9" applyNumberFormat="1" applyFont="1" applyFill="1" applyBorder="1"/>
    <xf numFmtId="37" fontId="2" fillId="5" borderId="116" xfId="9" applyNumberFormat="1" applyFont="1" applyFill="1" applyBorder="1" applyAlignment="1">
      <alignment horizontal="center"/>
    </xf>
    <xf numFmtId="37" fontId="2" fillId="5" borderId="114" xfId="9" applyNumberFormat="1" applyFont="1" applyFill="1" applyBorder="1" applyAlignment="1">
      <alignment horizontal="center"/>
    </xf>
    <xf numFmtId="0" fontId="5" fillId="5" borderId="116" xfId="8" applyFill="1" applyBorder="1"/>
    <xf numFmtId="9" fontId="2" fillId="5" borderId="116" xfId="2" applyFont="1" applyFill="1" applyBorder="1"/>
    <xf numFmtId="37" fontId="4" fillId="29" borderId="116" xfId="9" applyNumberFormat="1" applyFont="1" applyFill="1" applyBorder="1" applyAlignment="1">
      <alignment horizontal="center"/>
    </xf>
    <xf numFmtId="37" fontId="4" fillId="0" borderId="116" xfId="9" applyNumberFormat="1" applyFont="1" applyFill="1" applyBorder="1" applyAlignment="1">
      <alignment horizontal="center"/>
    </xf>
    <xf numFmtId="37" fontId="5" fillId="5" borderId="116" xfId="8" applyNumberFormat="1" applyFill="1" applyBorder="1" applyAlignment="1">
      <alignment horizontal="center"/>
    </xf>
    <xf numFmtId="166" fontId="4" fillId="5" borderId="116" xfId="9" applyNumberFormat="1" applyFont="1" applyFill="1" applyBorder="1"/>
    <xf numFmtId="166" fontId="2" fillId="5" borderId="116" xfId="9" applyNumberFormat="1" applyFont="1" applyFill="1" applyBorder="1" applyAlignment="1">
      <alignment horizontal="left" indent="1"/>
    </xf>
    <xf numFmtId="166" fontId="50" fillId="5" borderId="116" xfId="9" applyNumberFormat="1" applyFont="1" applyFill="1" applyBorder="1"/>
    <xf numFmtId="10" fontId="50" fillId="5" borderId="116" xfId="4" applyNumberFormat="1" applyFont="1" applyFill="1" applyBorder="1"/>
    <xf numFmtId="37" fontId="2" fillId="5" borderId="116" xfId="9" applyNumberFormat="1" applyFont="1" applyFill="1" applyBorder="1"/>
    <xf numFmtId="37" fontId="4" fillId="31" borderId="118" xfId="9" applyNumberFormat="1" applyFont="1" applyFill="1" applyBorder="1" applyAlignment="1">
      <alignment horizontal="center"/>
    </xf>
    <xf numFmtId="2" fontId="20" fillId="5" borderId="0" xfId="9" applyNumberFormat="1" applyFont="1" applyFill="1" applyBorder="1"/>
    <xf numFmtId="2" fontId="20" fillId="5" borderId="16" xfId="9" applyNumberFormat="1" applyFont="1" applyFill="1" applyBorder="1"/>
    <xf numFmtId="2" fontId="20" fillId="5" borderId="60" xfId="9" applyNumberFormat="1" applyFont="1" applyFill="1" applyBorder="1" applyAlignment="1">
      <alignment horizontal="centerContinuous"/>
    </xf>
    <xf numFmtId="37" fontId="20" fillId="5" borderId="0" xfId="9" applyNumberFormat="1" applyFont="1" applyFill="1" applyBorder="1" applyAlignment="1">
      <alignment horizontal="center"/>
    </xf>
    <xf numFmtId="37" fontId="20" fillId="5" borderId="60" xfId="9" applyNumberFormat="1" applyFont="1" applyFill="1" applyBorder="1" applyAlignment="1">
      <alignment horizontal="center"/>
    </xf>
    <xf numFmtId="2" fontId="21" fillId="5" borderId="0" xfId="8" applyNumberFormat="1" applyFont="1" applyFill="1"/>
    <xf numFmtId="10" fontId="20" fillId="5" borderId="0" xfId="2" applyNumberFormat="1" applyFont="1" applyFill="1" applyBorder="1" applyAlignment="1">
      <alignment horizontal="center"/>
    </xf>
    <xf numFmtId="10" fontId="20" fillId="5" borderId="60" xfId="2" applyNumberFormat="1" applyFont="1" applyFill="1" applyBorder="1" applyAlignment="1">
      <alignment horizontal="center"/>
    </xf>
    <xf numFmtId="2" fontId="20" fillId="5" borderId="0" xfId="4" applyNumberFormat="1" applyFont="1" applyFill="1" applyBorder="1"/>
    <xf numFmtId="37" fontId="104" fillId="29" borderId="0" xfId="9" applyNumberFormat="1" applyFont="1" applyFill="1" applyBorder="1" applyAlignment="1">
      <alignment horizontal="center"/>
    </xf>
    <xf numFmtId="37" fontId="104" fillId="0" borderId="0" xfId="9" applyNumberFormat="1" applyFont="1" applyFill="1" applyBorder="1" applyAlignment="1">
      <alignment horizontal="center"/>
    </xf>
    <xf numFmtId="37" fontId="21" fillId="5" borderId="0" xfId="8" applyNumberFormat="1" applyFont="1" applyFill="1" applyAlignment="1">
      <alignment horizontal="center"/>
    </xf>
    <xf numFmtId="37" fontId="20" fillId="29" borderId="0" xfId="9" applyNumberFormat="1" applyFont="1" applyFill="1" applyBorder="1" applyAlignment="1">
      <alignment horizontal="center"/>
    </xf>
    <xf numFmtId="2" fontId="104" fillId="5" borderId="0" xfId="9" applyNumberFormat="1" applyFont="1" applyFill="1" applyBorder="1"/>
    <xf numFmtId="2" fontId="20" fillId="5" borderId="0" xfId="9" applyNumberFormat="1" applyFont="1" applyFill="1" applyBorder="1" applyAlignment="1">
      <alignment horizontal="left" indent="1"/>
    </xf>
    <xf numFmtId="2" fontId="105" fillId="5" borderId="0" xfId="9" applyNumberFormat="1" applyFont="1" applyFill="1" applyBorder="1"/>
    <xf numFmtId="2" fontId="105" fillId="5" borderId="0" xfId="4" applyNumberFormat="1" applyFont="1" applyFill="1" applyBorder="1"/>
    <xf numFmtId="37" fontId="20" fillId="5" borderId="0" xfId="9" applyNumberFormat="1" applyFont="1" applyFill="1" applyBorder="1"/>
    <xf numFmtId="37" fontId="104" fillId="31" borderId="11" xfId="9" applyNumberFormat="1" applyFont="1" applyFill="1" applyBorder="1" applyAlignment="1">
      <alignment horizontal="center"/>
    </xf>
    <xf numFmtId="2" fontId="20" fillId="5" borderId="11" xfId="9" applyNumberFormat="1" applyFont="1" applyFill="1" applyBorder="1"/>
    <xf numFmtId="2" fontId="21" fillId="0" borderId="0" xfId="0" applyNumberFormat="1" applyFont="1"/>
    <xf numFmtId="2" fontId="20" fillId="0" borderId="0" xfId="0" applyNumberFormat="1" applyFont="1"/>
    <xf numFmtId="2" fontId="20" fillId="5" borderId="113" xfId="9" applyNumberFormat="1" applyFont="1" applyFill="1" applyBorder="1"/>
    <xf numFmtId="2" fontId="20" fillId="5" borderId="115" xfId="9" applyNumberFormat="1" applyFont="1" applyFill="1" applyBorder="1" applyAlignment="1">
      <alignment horizontal="centerContinuous"/>
    </xf>
    <xf numFmtId="2" fontId="20" fillId="5" borderId="117" xfId="9" applyNumberFormat="1" applyFont="1" applyFill="1" applyBorder="1"/>
    <xf numFmtId="37" fontId="20" fillId="5" borderId="117" xfId="9" applyNumberFormat="1" applyFont="1" applyFill="1" applyBorder="1" applyAlignment="1">
      <alignment horizontal="center"/>
    </xf>
    <xf numFmtId="37" fontId="20" fillId="5" borderId="115" xfId="9" applyNumberFormat="1" applyFont="1" applyFill="1" applyBorder="1" applyAlignment="1">
      <alignment horizontal="center"/>
    </xf>
    <xf numFmtId="2" fontId="21" fillId="5" borderId="117" xfId="8" applyNumberFormat="1" applyFont="1" applyFill="1" applyBorder="1"/>
    <xf numFmtId="10" fontId="20" fillId="5" borderId="115" xfId="2" applyNumberFormat="1" applyFont="1" applyFill="1" applyBorder="1" applyAlignment="1">
      <alignment horizontal="center"/>
    </xf>
    <xf numFmtId="2" fontId="20" fillId="5" borderId="117" xfId="4" applyNumberFormat="1" applyFont="1" applyFill="1" applyBorder="1"/>
    <xf numFmtId="37" fontId="104" fillId="29" borderId="117" xfId="9" applyNumberFormat="1" applyFont="1" applyFill="1" applyBorder="1" applyAlignment="1">
      <alignment horizontal="center"/>
    </xf>
    <xf numFmtId="37" fontId="104" fillId="0" borderId="117" xfId="9" applyNumberFormat="1" applyFont="1" applyFill="1" applyBorder="1" applyAlignment="1">
      <alignment horizontal="center"/>
    </xf>
    <xf numFmtId="37" fontId="21" fillId="5" borderId="117" xfId="8" applyNumberFormat="1" applyFont="1" applyFill="1" applyBorder="1" applyAlignment="1">
      <alignment horizontal="center"/>
    </xf>
    <xf numFmtId="37" fontId="20" fillId="29" borderId="117" xfId="9" applyNumberFormat="1" applyFont="1" applyFill="1" applyBorder="1" applyAlignment="1">
      <alignment horizontal="center"/>
    </xf>
    <xf numFmtId="2" fontId="104" fillId="5" borderId="117" xfId="9" applyNumberFormat="1" applyFont="1" applyFill="1" applyBorder="1"/>
    <xf numFmtId="2" fontId="20" fillId="5" borderId="117" xfId="9" applyNumberFormat="1" applyFont="1" applyFill="1" applyBorder="1" applyAlignment="1">
      <alignment horizontal="left" indent="1"/>
    </xf>
    <xf numFmtId="2" fontId="105" fillId="5" borderId="117" xfId="9" applyNumberFormat="1" applyFont="1" applyFill="1" applyBorder="1"/>
    <xf numFmtId="2" fontId="105" fillId="5" borderId="117" xfId="4" applyNumberFormat="1" applyFont="1" applyFill="1" applyBorder="1"/>
    <xf numFmtId="37" fontId="20" fillId="5" borderId="117" xfId="9" applyNumberFormat="1" applyFont="1" applyFill="1" applyBorder="1"/>
    <xf numFmtId="37" fontId="104" fillId="31" borderId="119" xfId="9" applyNumberFormat="1" applyFont="1" applyFill="1" applyBorder="1" applyAlignment="1">
      <alignment horizontal="center"/>
    </xf>
    <xf numFmtId="2" fontId="106" fillId="5" borderId="0" xfId="9" applyNumberFormat="1" applyFont="1" applyFill="1" applyBorder="1"/>
    <xf numFmtId="2" fontId="107" fillId="5" borderId="0" xfId="9" applyNumberFormat="1" applyFont="1" applyFill="1" applyBorder="1"/>
    <xf numFmtId="37" fontId="21" fillId="5" borderId="0" xfId="8" applyNumberFormat="1" applyFont="1" applyFill="1"/>
    <xf numFmtId="2" fontId="20" fillId="5" borderId="0" xfId="8" applyNumberFormat="1" applyFont="1" applyFill="1"/>
    <xf numFmtId="2" fontId="20" fillId="5" borderId="0" xfId="8" applyNumberFormat="1" applyFont="1" applyFill="1" applyAlignment="1">
      <alignment horizontal="right"/>
    </xf>
    <xf numFmtId="2" fontId="20" fillId="5" borderId="18" xfId="9" applyNumberFormat="1" applyFont="1" applyFill="1" applyBorder="1"/>
    <xf numFmtId="2" fontId="20" fillId="5" borderId="61" xfId="9" applyNumberFormat="1" applyFont="1" applyFill="1" applyBorder="1" applyAlignment="1">
      <alignment horizontal="centerContinuous"/>
    </xf>
    <xf numFmtId="2" fontId="20" fillId="5" borderId="40" xfId="9" applyNumberFormat="1" applyFont="1" applyFill="1" applyBorder="1"/>
    <xf numFmtId="37" fontId="20" fillId="5" borderId="40" xfId="9" applyNumberFormat="1" applyFont="1" applyFill="1" applyBorder="1" applyAlignment="1">
      <alignment horizontal="center"/>
    </xf>
    <xf numFmtId="37" fontId="20" fillId="5" borderId="61" xfId="9" applyNumberFormat="1" applyFont="1" applyFill="1" applyBorder="1" applyAlignment="1">
      <alignment horizontal="center"/>
    </xf>
    <xf numFmtId="166" fontId="20" fillId="5" borderId="40" xfId="9" applyNumberFormat="1" applyFont="1" applyFill="1" applyBorder="1"/>
    <xf numFmtId="10" fontId="20" fillId="5" borderId="61" xfId="2" applyNumberFormat="1" applyFont="1" applyFill="1" applyBorder="1" applyAlignment="1">
      <alignment horizontal="center"/>
    </xf>
    <xf numFmtId="166" fontId="20" fillId="5" borderId="40" xfId="4" applyNumberFormat="1" applyFont="1" applyFill="1" applyBorder="1"/>
    <xf numFmtId="37" fontId="104" fillId="29" borderId="40" xfId="9" applyNumberFormat="1" applyFont="1" applyFill="1" applyBorder="1" applyAlignment="1">
      <alignment horizontal="center"/>
    </xf>
    <xf numFmtId="37" fontId="104" fillId="0" borderId="40" xfId="9" applyNumberFormat="1" applyFont="1" applyFill="1" applyBorder="1" applyAlignment="1">
      <alignment horizontal="center"/>
    </xf>
    <xf numFmtId="37" fontId="21" fillId="5" borderId="40" xfId="8" applyNumberFormat="1" applyFont="1" applyFill="1" applyBorder="1" applyAlignment="1">
      <alignment horizontal="center"/>
    </xf>
    <xf numFmtId="37" fontId="20" fillId="29" borderId="40" xfId="9" applyNumberFormat="1" applyFont="1" applyFill="1" applyBorder="1" applyAlignment="1">
      <alignment horizontal="center"/>
    </xf>
    <xf numFmtId="2" fontId="106" fillId="5" borderId="40" xfId="9" applyNumberFormat="1" applyFont="1" applyFill="1" applyBorder="1"/>
    <xf numFmtId="2" fontId="107" fillId="5" borderId="40" xfId="9" applyNumberFormat="1" applyFont="1" applyFill="1" applyBorder="1"/>
    <xf numFmtId="37" fontId="20" fillId="0" borderId="40" xfId="9" applyNumberFormat="1" applyFont="1" applyFill="1" applyBorder="1" applyAlignment="1">
      <alignment horizontal="center"/>
    </xf>
    <xf numFmtId="37" fontId="104" fillId="31" borderId="42" xfId="9" applyNumberFormat="1" applyFont="1" applyFill="1" applyBorder="1" applyAlignment="1">
      <alignment horizontal="center"/>
    </xf>
    <xf numFmtId="2" fontId="21" fillId="0" borderId="0" xfId="5" applyNumberFormat="1" applyFont="1"/>
    <xf numFmtId="2" fontId="20" fillId="9" borderId="0" xfId="5" applyNumberFormat="1" applyFont="1" applyFill="1"/>
    <xf numFmtId="2" fontId="20" fillId="0" borderId="0" xfId="5" applyNumberFormat="1" applyFont="1"/>
    <xf numFmtId="2" fontId="20" fillId="0" borderId="60" xfId="5" applyNumberFormat="1" applyFont="1" applyBorder="1" applyAlignment="1">
      <alignment horizontal="center"/>
    </xf>
    <xf numFmtId="37" fontId="20" fillId="0" borderId="0" xfId="5" applyNumberFormat="1" applyFont="1" applyAlignment="1">
      <alignment horizontal="center"/>
    </xf>
    <xf numFmtId="37" fontId="20" fillId="0" borderId="60" xfId="5" applyNumberFormat="1" applyFont="1" applyBorder="1"/>
    <xf numFmtId="37" fontId="104" fillId="0" borderId="0" xfId="5" applyNumberFormat="1" applyFont="1" applyAlignment="1">
      <alignment horizontal="center"/>
    </xf>
    <xf numFmtId="37" fontId="20" fillId="0" borderId="0" xfId="5" applyNumberFormat="1" applyFont="1"/>
    <xf numFmtId="166" fontId="21" fillId="5" borderId="40" xfId="8" applyNumberFormat="1" applyFont="1" applyFill="1" applyBorder="1"/>
    <xf numFmtId="2" fontId="20" fillId="5" borderId="40" xfId="4" applyNumberFormat="1" applyFont="1" applyFill="1" applyBorder="1"/>
    <xf numFmtId="2" fontId="21" fillId="5" borderId="40" xfId="8" applyNumberFormat="1" applyFont="1" applyFill="1" applyBorder="1" applyAlignment="1">
      <alignment horizontal="center"/>
    </xf>
    <xf numFmtId="2" fontId="21" fillId="31" borderId="42" xfId="8" applyNumberFormat="1" applyFont="1" applyFill="1" applyBorder="1" applyAlignment="1">
      <alignment horizontal="center"/>
    </xf>
    <xf numFmtId="2" fontId="20" fillId="0" borderId="60" xfId="0" applyNumberFormat="1" applyFont="1" applyBorder="1" applyAlignment="1">
      <alignment horizontal="center"/>
    </xf>
    <xf numFmtId="37" fontId="20" fillId="0" borderId="0" xfId="0" applyNumberFormat="1" applyFont="1" applyAlignment="1">
      <alignment horizontal="center"/>
    </xf>
    <xf numFmtId="37" fontId="20" fillId="0" borderId="60" xfId="0" applyNumberFormat="1" applyFont="1" applyBorder="1"/>
    <xf numFmtId="37" fontId="104" fillId="0" borderId="0" xfId="0" applyNumberFormat="1" applyFont="1" applyAlignment="1">
      <alignment horizontal="center"/>
    </xf>
    <xf numFmtId="37" fontId="20" fillId="0" borderId="0" xfId="0" applyNumberFormat="1" applyFont="1"/>
    <xf numFmtId="0" fontId="108" fillId="0" borderId="0" xfId="0" applyFont="1"/>
    <xf numFmtId="9" fontId="21" fillId="5" borderId="0" xfId="2" applyFont="1" applyFill="1"/>
    <xf numFmtId="9" fontId="21" fillId="5" borderId="16" xfId="2" applyFont="1" applyFill="1" applyBorder="1"/>
    <xf numFmtId="9" fontId="20" fillId="5" borderId="60" xfId="2" applyFont="1" applyFill="1" applyBorder="1" applyAlignment="1">
      <alignment horizontal="centerContinuous"/>
    </xf>
    <xf numFmtId="9" fontId="109" fillId="5" borderId="0" xfId="2" applyFont="1" applyFill="1" applyBorder="1"/>
    <xf numFmtId="9" fontId="20" fillId="5" borderId="0" xfId="2" applyFont="1" applyFill="1" applyBorder="1"/>
    <xf numFmtId="10" fontId="104" fillId="29" borderId="0" xfId="2" applyNumberFormat="1" applyFont="1" applyFill="1" applyBorder="1" applyAlignment="1">
      <alignment horizontal="center"/>
    </xf>
    <xf numFmtId="10" fontId="104" fillId="0" borderId="0" xfId="2" applyNumberFormat="1" applyFont="1" applyFill="1" applyBorder="1" applyAlignment="1">
      <alignment horizontal="center"/>
    </xf>
    <xf numFmtId="10" fontId="20" fillId="29" borderId="0" xfId="2" applyNumberFormat="1" applyFont="1" applyFill="1" applyBorder="1" applyAlignment="1">
      <alignment horizontal="center"/>
    </xf>
    <xf numFmtId="9" fontId="110" fillId="5" borderId="0" xfId="2" applyFont="1" applyFill="1" applyBorder="1"/>
    <xf numFmtId="9" fontId="110" fillId="5" borderId="0" xfId="2" applyFont="1" applyFill="1" applyBorder="1" applyAlignment="1">
      <alignment horizontal="center"/>
    </xf>
    <xf numFmtId="9" fontId="104" fillId="31" borderId="11" xfId="2" applyFont="1" applyFill="1" applyBorder="1" applyAlignment="1">
      <alignment horizontal="center"/>
    </xf>
    <xf numFmtId="9" fontId="20" fillId="5" borderId="0" xfId="2" applyFont="1" applyFill="1"/>
    <xf numFmtId="9" fontId="20" fillId="5" borderId="11" xfId="2" applyFont="1" applyFill="1" applyBorder="1"/>
    <xf numFmtId="9" fontId="21" fillId="0" borderId="0" xfId="2" applyFont="1"/>
    <xf numFmtId="9" fontId="20" fillId="0" borderId="0" xfId="2" applyFont="1"/>
    <xf numFmtId="9" fontId="21" fillId="5" borderId="0" xfId="2" applyFont="1" applyFill="1" applyAlignment="1">
      <alignment horizontal="center"/>
    </xf>
    <xf numFmtId="9" fontId="21" fillId="5" borderId="18" xfId="2" applyFont="1" applyFill="1" applyBorder="1" applyAlignment="1">
      <alignment horizontal="center"/>
    </xf>
    <xf numFmtId="9" fontId="20" fillId="5" borderId="61" xfId="2" applyFont="1" applyFill="1" applyBorder="1" applyAlignment="1">
      <alignment horizontal="centerContinuous"/>
    </xf>
    <xf numFmtId="9" fontId="109" fillId="5" borderId="40" xfId="2" applyFont="1" applyFill="1" applyBorder="1" applyAlignment="1">
      <alignment horizontal="center"/>
    </xf>
    <xf numFmtId="10" fontId="20" fillId="5" borderId="40" xfId="2" applyNumberFormat="1" applyFont="1" applyFill="1" applyBorder="1" applyAlignment="1">
      <alignment horizontal="center"/>
    </xf>
    <xf numFmtId="9" fontId="20" fillId="5" borderId="40" xfId="2" applyFont="1" applyFill="1" applyBorder="1" applyAlignment="1">
      <alignment horizontal="center"/>
    </xf>
    <xf numFmtId="10" fontId="104" fillId="29" borderId="40" xfId="2" applyNumberFormat="1" applyFont="1" applyFill="1" applyBorder="1" applyAlignment="1">
      <alignment horizontal="center"/>
    </xf>
    <xf numFmtId="10" fontId="104" fillId="0" borderId="40" xfId="2" applyNumberFormat="1" applyFont="1" applyFill="1" applyBorder="1" applyAlignment="1">
      <alignment horizontal="center"/>
    </xf>
    <xf numFmtId="10" fontId="20" fillId="29" borderId="40" xfId="2" applyNumberFormat="1" applyFont="1" applyFill="1" applyBorder="1" applyAlignment="1">
      <alignment horizontal="center"/>
    </xf>
    <xf numFmtId="9" fontId="104" fillId="31" borderId="42" xfId="2" applyFont="1" applyFill="1" applyBorder="1" applyAlignment="1">
      <alignment horizontal="center"/>
    </xf>
    <xf numFmtId="9" fontId="20" fillId="5" borderId="0" xfId="2" applyFont="1" applyFill="1" applyAlignment="1">
      <alignment horizontal="center"/>
    </xf>
    <xf numFmtId="9" fontId="20" fillId="5" borderId="11" xfId="2" applyFont="1" applyFill="1" applyBorder="1" applyAlignment="1">
      <alignment horizontal="center"/>
    </xf>
    <xf numFmtId="9" fontId="21" fillId="0" borderId="0" xfId="2" applyFont="1" applyAlignment="1">
      <alignment horizontal="center"/>
    </xf>
    <xf numFmtId="9" fontId="20" fillId="0" borderId="0" xfId="2" applyFont="1" applyAlignment="1">
      <alignment horizontal="center"/>
    </xf>
    <xf numFmtId="10" fontId="11" fillId="12" borderId="7" xfId="2" applyNumberFormat="1" applyFont="1" applyFill="1" applyBorder="1" applyAlignment="1">
      <alignment horizontal="center"/>
    </xf>
    <xf numFmtId="3" fontId="29" fillId="0" borderId="0" xfId="0" applyNumberFormat="1" applyFont="1" applyAlignment="1">
      <alignment horizontal="center"/>
    </xf>
    <xf numFmtId="0" fontId="12" fillId="4" borderId="4" xfId="0" applyFont="1" applyFill="1" applyBorder="1" applyAlignment="1">
      <alignment horizontal="center" vertical="center" wrapText="1"/>
    </xf>
    <xf numFmtId="37" fontId="11" fillId="0" borderId="61" xfId="0" applyNumberFormat="1" applyFont="1" applyBorder="1" applyAlignment="1">
      <alignment horizontal="center"/>
    </xf>
    <xf numFmtId="169" fontId="11" fillId="0" borderId="40" xfId="0" applyNumberFormat="1" applyFont="1" applyBorder="1"/>
    <xf numFmtId="169" fontId="11" fillId="0" borderId="61" xfId="0" applyNumberFormat="1" applyFont="1" applyBorder="1"/>
    <xf numFmtId="169" fontId="11" fillId="0" borderId="97" xfId="0" applyNumberFormat="1" applyFont="1" applyBorder="1"/>
    <xf numFmtId="169" fontId="11" fillId="4" borderId="42" xfId="5" applyNumberFormat="1" applyFont="1" applyFill="1" applyBorder="1"/>
    <xf numFmtId="2" fontId="4" fillId="9" borderId="40" xfId="5" applyNumberFormat="1" applyFont="1" applyFill="1" applyBorder="1" applyAlignment="1">
      <alignment horizontal="center"/>
    </xf>
    <xf numFmtId="37" fontId="2" fillId="0" borderId="66" xfId="0" applyNumberFormat="1" applyFont="1" applyBorder="1" applyAlignment="1">
      <alignment horizontal="center"/>
    </xf>
    <xf numFmtId="37" fontId="2" fillId="0" borderId="64" xfId="0" applyNumberFormat="1" applyFont="1" applyBorder="1" applyAlignment="1">
      <alignment horizontal="center"/>
    </xf>
    <xf numFmtId="0" fontId="3" fillId="0" borderId="16" xfId="0" applyFont="1" applyBorder="1"/>
    <xf numFmtId="2" fontId="21" fillId="0" borderId="16" xfId="0" applyNumberFormat="1" applyFont="1" applyBorder="1"/>
    <xf numFmtId="2" fontId="21" fillId="0" borderId="16" xfId="5" applyNumberFormat="1" applyFont="1" applyBorder="1"/>
    <xf numFmtId="2" fontId="20" fillId="0" borderId="63" xfId="5" applyNumberFormat="1" applyFont="1" applyBorder="1" applyAlignment="1">
      <alignment horizontal="center"/>
    </xf>
    <xf numFmtId="0" fontId="3" fillId="0" borderId="17" xfId="0" applyFont="1" applyBorder="1"/>
    <xf numFmtId="2" fontId="2" fillId="0" borderId="39" xfId="0" applyNumberFormat="1" applyFont="1" applyBorder="1"/>
    <xf numFmtId="2" fontId="8" fillId="0" borderId="64" xfId="0" applyNumberFormat="1" applyFont="1" applyBorder="1"/>
    <xf numFmtId="0" fontId="11" fillId="0" borderId="63" xfId="0" applyFont="1" applyBorder="1"/>
    <xf numFmtId="37" fontId="2" fillId="0" borderId="67" xfId="0" applyNumberFormat="1" applyFont="1" applyBorder="1" applyAlignment="1">
      <alignment horizontal="center"/>
    </xf>
    <xf numFmtId="2" fontId="21" fillId="0" borderId="18" xfId="0" applyNumberFormat="1" applyFont="1" applyBorder="1"/>
    <xf numFmtId="2" fontId="20" fillId="0" borderId="94" xfId="0" applyNumberFormat="1" applyFont="1" applyBorder="1" applyAlignment="1">
      <alignment horizontal="center"/>
    </xf>
    <xf numFmtId="37" fontId="2" fillId="0" borderId="40" xfId="0" applyNumberFormat="1" applyFont="1" applyBorder="1" applyAlignment="1">
      <alignment horizontal="center"/>
    </xf>
    <xf numFmtId="37" fontId="2" fillId="0" borderId="61" xfId="0" applyNumberFormat="1" applyFont="1" applyBorder="1" applyAlignment="1">
      <alignment horizontal="center"/>
    </xf>
    <xf numFmtId="37" fontId="4" fillId="0" borderId="40" xfId="0" applyNumberFormat="1" applyFont="1" applyBorder="1" applyAlignment="1">
      <alignment horizontal="center"/>
    </xf>
    <xf numFmtId="2" fontId="8" fillId="0" borderId="94" xfId="0" applyNumberFormat="1" applyFont="1" applyBorder="1"/>
    <xf numFmtId="2" fontId="8" fillId="0" borderId="64" xfId="0" applyNumberFormat="1" applyFont="1" applyBorder="1" applyAlignment="1">
      <alignment horizontal="center"/>
    </xf>
    <xf numFmtId="2" fontId="8" fillId="0" borderId="94" xfId="0" applyNumberFormat="1" applyFont="1" applyBorder="1" applyAlignment="1">
      <alignment horizontal="center"/>
    </xf>
    <xf numFmtId="10" fontId="20" fillId="5" borderId="71" xfId="2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28" borderId="0" xfId="0" applyFont="1" applyFill="1" applyAlignment="1">
      <alignment horizontal="left"/>
    </xf>
    <xf numFmtId="0" fontId="11" fillId="28" borderId="40" xfId="0" applyFont="1" applyFill="1" applyBorder="1" applyAlignment="1">
      <alignment horizontal="left"/>
    </xf>
    <xf numFmtId="0" fontId="11" fillId="0" borderId="41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4" fillId="0" borderId="9" xfId="0" applyFont="1" applyBorder="1"/>
    <xf numFmtId="0" fontId="4" fillId="0" borderId="10" xfId="0" applyFont="1" applyBorder="1"/>
    <xf numFmtId="0" fontId="13" fillId="0" borderId="0" xfId="0" applyFont="1" applyAlignment="1">
      <alignment horizontal="left" vertical="top"/>
    </xf>
    <xf numFmtId="0" fontId="95" fillId="0" borderId="0" xfId="0" applyFont="1" applyAlignment="1">
      <alignment horizontal="center"/>
    </xf>
    <xf numFmtId="0" fontId="90" fillId="0" borderId="0" xfId="0" applyFont="1" applyAlignment="1">
      <alignment horizontal="center"/>
    </xf>
    <xf numFmtId="0" fontId="93" fillId="0" borderId="2" xfId="0" applyFont="1" applyBorder="1" applyAlignment="1">
      <alignment horizontal="center"/>
    </xf>
    <xf numFmtId="0" fontId="93" fillId="0" borderId="3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4" fillId="0" borderId="0" xfId="54" applyFont="1" applyAlignment="1">
      <alignment horizontal="center"/>
    </xf>
    <xf numFmtId="0" fontId="111" fillId="0" borderId="0" xfId="0" applyFont="1"/>
    <xf numFmtId="0" fontId="113" fillId="0" borderId="67" xfId="0" applyFont="1" applyBorder="1"/>
    <xf numFmtId="0" fontId="114" fillId="0" borderId="66" xfId="0" applyFont="1" applyBorder="1"/>
    <xf numFmtId="0" fontId="11" fillId="29" borderId="39" xfId="0" quotePrefix="1" applyFont="1" applyFill="1" applyBorder="1" applyAlignment="1">
      <alignment vertical="center"/>
    </xf>
    <xf numFmtId="0" fontId="13" fillId="29" borderId="0" xfId="0" applyFont="1" applyFill="1" applyAlignment="1">
      <alignment horizontal="left" vertical="top"/>
    </xf>
    <xf numFmtId="0" fontId="13" fillId="29" borderId="5" xfId="0" applyFont="1" applyFill="1" applyBorder="1" applyAlignment="1">
      <alignment horizontal="center" vertical="top"/>
    </xf>
    <xf numFmtId="0" fontId="13" fillId="29" borderId="0" xfId="0" applyFont="1" applyFill="1" applyAlignment="1">
      <alignment horizontal="center"/>
    </xf>
    <xf numFmtId="180" fontId="13" fillId="29" borderId="0" xfId="0" applyNumberFormat="1" applyFont="1" applyFill="1" applyAlignment="1">
      <alignment horizontal="center"/>
    </xf>
    <xf numFmtId="0" fontId="13" fillId="29" borderId="0" xfId="0" applyFont="1" applyFill="1" applyAlignment="1">
      <alignment horizontal="center" vertical="top"/>
    </xf>
    <xf numFmtId="9" fontId="11" fillId="29" borderId="0" xfId="2" applyFont="1" applyFill="1" applyBorder="1" applyAlignment="1">
      <alignment horizontal="center"/>
    </xf>
    <xf numFmtId="166" fontId="11" fillId="29" borderId="16" xfId="5" applyNumberFormat="1" applyFont="1" applyFill="1" applyBorder="1" applyAlignment="1">
      <alignment horizontal="center"/>
    </xf>
    <xf numFmtId="37" fontId="11" fillId="29" borderId="0" xfId="5" applyNumberFormat="1" applyFont="1" applyFill="1" applyBorder="1" applyAlignment="1">
      <alignment horizontal="center"/>
    </xf>
    <xf numFmtId="37" fontId="11" fillId="29" borderId="0" xfId="0" applyNumberFormat="1" applyFont="1" applyFill="1" applyAlignment="1">
      <alignment horizontal="center"/>
    </xf>
    <xf numFmtId="10" fontId="11" fillId="29" borderId="0" xfId="0" applyNumberFormat="1" applyFont="1" applyFill="1" applyAlignment="1">
      <alignment horizontal="center"/>
    </xf>
    <xf numFmtId="9" fontId="11" fillId="29" borderId="0" xfId="0" applyNumberFormat="1" applyFont="1" applyFill="1" applyAlignment="1">
      <alignment horizontal="center"/>
    </xf>
    <xf numFmtId="10" fontId="11" fillId="29" borderId="0" xfId="2" applyNumberFormat="1" applyFont="1" applyFill="1" applyBorder="1" applyAlignment="1">
      <alignment horizontal="center"/>
    </xf>
    <xf numFmtId="0" fontId="11" fillId="29" borderId="60" xfId="0" applyFont="1" applyFill="1" applyBorder="1" applyAlignment="1">
      <alignment horizontal="center"/>
    </xf>
    <xf numFmtId="37" fontId="11" fillId="29" borderId="67" xfId="5" applyNumberFormat="1" applyFont="1" applyFill="1" applyBorder="1" applyAlignment="1">
      <alignment horizontal="center"/>
    </xf>
    <xf numFmtId="37" fontId="11" fillId="29" borderId="60" xfId="5" applyNumberFormat="1" applyFont="1" applyFill="1" applyBorder="1" applyAlignment="1">
      <alignment horizontal="center"/>
    </xf>
    <xf numFmtId="0" fontId="11" fillId="29" borderId="5" xfId="0" applyFont="1" applyFill="1" applyBorder="1" applyAlignment="1">
      <alignment horizontal="center"/>
    </xf>
    <xf numFmtId="0" fontId="11" fillId="29" borderId="64" xfId="0" applyFont="1" applyFill="1" applyBorder="1" applyAlignment="1">
      <alignment horizontal="center"/>
    </xf>
    <xf numFmtId="9" fontId="11" fillId="29" borderId="60" xfId="2" applyFont="1" applyFill="1" applyBorder="1"/>
    <xf numFmtId="37" fontId="0" fillId="29" borderId="0" xfId="0" applyNumberFormat="1" applyFill="1" applyAlignment="1">
      <alignment horizontal="center"/>
    </xf>
    <xf numFmtId="37" fontId="2" fillId="29" borderId="60" xfId="9" applyNumberFormat="1" applyFont="1" applyFill="1" applyBorder="1" applyAlignment="1">
      <alignment horizontal="center"/>
    </xf>
    <xf numFmtId="0" fontId="16" fillId="29" borderId="0" xfId="0" applyFont="1" applyFill="1" applyAlignment="1">
      <alignment horizontal="center"/>
    </xf>
    <xf numFmtId="0" fontId="16" fillId="29" borderId="40" xfId="0" applyFont="1" applyFill="1" applyBorder="1" applyAlignment="1">
      <alignment horizontal="center"/>
    </xf>
    <xf numFmtId="2" fontId="20" fillId="29" borderId="0" xfId="0" applyNumberFormat="1" applyFont="1" applyFill="1"/>
    <xf numFmtId="0" fontId="3" fillId="29" borderId="0" xfId="0" applyFont="1" applyFill="1"/>
    <xf numFmtId="2" fontId="21" fillId="29" borderId="0" xfId="0" applyNumberFormat="1" applyFont="1" applyFill="1"/>
    <xf numFmtId="0" fontId="2" fillId="29" borderId="0" xfId="0" applyFont="1" applyFill="1" applyAlignment="1">
      <alignment horizontal="right"/>
    </xf>
    <xf numFmtId="2" fontId="21" fillId="29" borderId="40" xfId="0" applyNumberFormat="1" applyFont="1" applyFill="1" applyBorder="1"/>
    <xf numFmtId="0" fontId="11" fillId="29" borderId="40" xfId="0" applyFont="1" applyFill="1" applyBorder="1"/>
    <xf numFmtId="0" fontId="11" fillId="29" borderId="42" xfId="0" applyFont="1" applyFill="1" applyBorder="1"/>
    <xf numFmtId="0" fontId="12" fillId="29" borderId="39" xfId="0" applyFont="1" applyFill="1" applyBorder="1"/>
    <xf numFmtId="0" fontId="12" fillId="29" borderId="17" xfId="0" applyFont="1" applyFill="1" applyBorder="1"/>
    <xf numFmtId="0" fontId="11" fillId="29" borderId="16" xfId="0" applyFont="1" applyFill="1" applyBorder="1"/>
    <xf numFmtId="0" fontId="11" fillId="29" borderId="18" xfId="0" applyFont="1" applyFill="1" applyBorder="1"/>
    <xf numFmtId="0" fontId="0" fillId="0" borderId="0" xfId="0" applyAlignment="1">
      <alignment wrapText="1"/>
    </xf>
    <xf numFmtId="0" fontId="118" fillId="0" borderId="0" xfId="0" applyFont="1" applyAlignment="1">
      <alignment horizontal="center" wrapText="1"/>
    </xf>
    <xf numFmtId="0" fontId="118" fillId="0" borderId="0" xfId="0" applyFont="1" applyAlignment="1">
      <alignment horizontal="center"/>
    </xf>
    <xf numFmtId="0" fontId="119" fillId="0" borderId="0" xfId="0" applyFont="1" applyAlignment="1">
      <alignment horizontal="center"/>
    </xf>
    <xf numFmtId="0" fontId="119" fillId="0" borderId="0" xfId="0" applyFont="1" applyAlignment="1">
      <alignment horizontal="center" wrapText="1"/>
    </xf>
    <xf numFmtId="0" fontId="41" fillId="0" borderId="0" xfId="558" applyFont="1" applyFill="1" applyBorder="1" applyAlignment="1">
      <alignment horizontal="center"/>
    </xf>
    <xf numFmtId="0" fontId="118" fillId="0" borderId="0" xfId="0" applyFont="1" applyAlignment="1">
      <alignment horizontal="left"/>
    </xf>
    <xf numFmtId="0" fontId="41" fillId="0" borderId="89" xfId="558" applyFont="1" applyFill="1" applyBorder="1" applyAlignment="1">
      <alignment horizontal="center"/>
    </xf>
    <xf numFmtId="0" fontId="41" fillId="0" borderId="91" xfId="558" applyFont="1" applyFill="1" applyBorder="1" applyAlignment="1">
      <alignment horizontal="center"/>
    </xf>
    <xf numFmtId="0" fontId="0" fillId="0" borderId="93" xfId="0" applyBorder="1"/>
    <xf numFmtId="0" fontId="0" fillId="0" borderId="75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12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174" fontId="0" fillId="0" borderId="122" xfId="0" applyNumberFormat="1" applyBorder="1" applyAlignment="1">
      <alignment horizontal="center" vertical="center" wrapText="1"/>
    </xf>
    <xf numFmtId="188" fontId="41" fillId="5" borderId="63" xfId="558" applyNumberFormat="1" applyFont="1" applyFill="1" applyBorder="1" applyAlignment="1">
      <alignment horizontal="center" vertical="center"/>
    </xf>
    <xf numFmtId="174" fontId="41" fillId="5" borderId="63" xfId="558" applyNumberFormat="1" applyFont="1" applyFill="1" applyBorder="1" applyAlignment="1">
      <alignment horizontal="center" vertical="center"/>
    </xf>
    <xf numFmtId="3" fontId="0" fillId="0" borderId="122" xfId="0" applyNumberFormat="1" applyBorder="1" applyAlignment="1">
      <alignment horizontal="center" vertical="center" wrapText="1"/>
    </xf>
    <xf numFmtId="0" fontId="34" fillId="36" borderId="0" xfId="0" applyFont="1" applyFill="1" applyAlignment="1">
      <alignment horizontal="center" vertical="center" wrapText="1"/>
    </xf>
    <xf numFmtId="0" fontId="0" fillId="34" borderId="122" xfId="0" applyFill="1" applyBorder="1" applyAlignment="1">
      <alignment horizontal="center" vertical="center" wrapText="1"/>
    </xf>
    <xf numFmtId="6" fontId="0" fillId="0" borderId="122" xfId="0" applyNumberFormat="1" applyBorder="1" applyAlignment="1">
      <alignment horizontal="center" vertical="center" wrapText="1"/>
    </xf>
    <xf numFmtId="0" fontId="0" fillId="34" borderId="63" xfId="0" applyFill="1" applyBorder="1" applyAlignment="1">
      <alignment horizontal="center" vertical="center" wrapText="1"/>
    </xf>
    <xf numFmtId="3" fontId="0" fillId="0" borderId="63" xfId="0" applyNumberFormat="1" applyBorder="1" applyAlignment="1">
      <alignment horizontal="center" vertical="center" wrapText="1"/>
    </xf>
    <xf numFmtId="0" fontId="0" fillId="34" borderId="80" xfId="0" applyFill="1" applyBorder="1" applyAlignment="1">
      <alignment horizontal="center" vertical="center" wrapText="1"/>
    </xf>
    <xf numFmtId="6" fontId="0" fillId="0" borderId="80" xfId="0" applyNumberFormat="1" applyBorder="1" applyAlignment="1">
      <alignment horizontal="center" vertical="center" wrapText="1"/>
    </xf>
    <xf numFmtId="3" fontId="0" fillId="0" borderId="80" xfId="0" applyNumberForma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9" fontId="41" fillId="0" borderId="63" xfId="2" applyFont="1" applyFill="1" applyBorder="1" applyAlignment="1">
      <alignment horizontal="center" vertical="center" wrapText="1"/>
    </xf>
    <xf numFmtId="0" fontId="34" fillId="35" borderId="14" xfId="0" applyFont="1" applyFill="1" applyBorder="1" applyAlignment="1">
      <alignment horizontal="center" vertical="center" wrapText="1"/>
    </xf>
    <xf numFmtId="0" fontId="34" fillId="35" borderId="15" xfId="0" applyFont="1" applyFill="1" applyBorder="1" applyAlignment="1">
      <alignment horizontal="center" vertical="center" wrapText="1"/>
    </xf>
    <xf numFmtId="9" fontId="41" fillId="0" borderId="105" xfId="2" applyFont="1" applyFill="1" applyBorder="1" applyAlignment="1">
      <alignment horizontal="center" vertical="center" wrapText="1"/>
    </xf>
    <xf numFmtId="3" fontId="34" fillId="35" borderId="14" xfId="0" applyNumberFormat="1" applyFont="1" applyFill="1" applyBorder="1" applyAlignment="1">
      <alignment horizontal="center" vertical="center" wrapText="1"/>
    </xf>
    <xf numFmtId="14" fontId="41" fillId="5" borderId="105" xfId="558" applyNumberFormat="1" applyFont="1" applyFill="1" applyBorder="1" applyAlignment="1">
      <alignment horizontal="center" vertical="center"/>
    </xf>
    <xf numFmtId="14" fontId="41" fillId="0" borderId="105" xfId="558" applyNumberFormat="1" applyFont="1" applyFill="1" applyBorder="1" applyAlignment="1">
      <alignment horizontal="center" vertical="center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3" fontId="0" fillId="0" borderId="76" xfId="0" applyNumberFormat="1" applyBorder="1" applyAlignment="1">
      <alignment horizontal="center" vertical="center" wrapText="1"/>
    </xf>
    <xf numFmtId="174" fontId="0" fillId="0" borderId="76" xfId="0" applyNumberFormat="1" applyBorder="1" applyAlignment="1">
      <alignment horizontal="center" vertical="center" wrapText="1"/>
    </xf>
    <xf numFmtId="174" fontId="41" fillId="5" borderId="76" xfId="558" applyNumberFormat="1" applyFont="1" applyFill="1" applyBorder="1" applyAlignment="1">
      <alignment horizontal="center" vertical="center"/>
    </xf>
    <xf numFmtId="188" fontId="41" fillId="5" borderId="76" xfId="558" applyNumberFormat="1" applyFont="1" applyFill="1" applyBorder="1" applyAlignment="1">
      <alignment horizontal="center" vertical="center"/>
    </xf>
    <xf numFmtId="14" fontId="41" fillId="5" borderId="93" xfId="558" applyNumberFormat="1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 wrapText="1"/>
    </xf>
    <xf numFmtId="14" fontId="41" fillId="5" borderId="94" xfId="558" applyNumberFormat="1" applyFont="1" applyFill="1" applyBorder="1" applyAlignment="1">
      <alignment horizontal="center" vertical="center"/>
    </xf>
    <xf numFmtId="0" fontId="27" fillId="0" borderId="41" xfId="0" applyFont="1" applyBorder="1" applyAlignment="1">
      <alignment horizontal="right" vertical="center"/>
    </xf>
    <xf numFmtId="0" fontId="27" fillId="0" borderId="126" xfId="0" applyFont="1" applyBorder="1" applyAlignment="1">
      <alignment horizontal="center" vertical="center" wrapText="1"/>
    </xf>
    <xf numFmtId="3" fontId="117" fillId="34" borderId="126" xfId="0" applyNumberFormat="1" applyFont="1" applyFill="1" applyBorder="1" applyAlignment="1">
      <alignment horizontal="center" vertical="center"/>
    </xf>
    <xf numFmtId="166" fontId="27" fillId="0" borderId="127" xfId="0" applyNumberFormat="1" applyFont="1" applyBorder="1" applyAlignment="1">
      <alignment horizontal="center" vertical="center"/>
    </xf>
    <xf numFmtId="188" fontId="117" fillId="34" borderId="126" xfId="1" applyNumberFormat="1" applyFont="1" applyFill="1" applyBorder="1" applyAlignment="1">
      <alignment horizontal="center" vertical="center"/>
    </xf>
    <xf numFmtId="174" fontId="117" fillId="34" borderId="126" xfId="1" applyNumberFormat="1" applyFont="1" applyFill="1" applyBorder="1" applyAlignment="1">
      <alignment horizontal="center" vertical="center"/>
    </xf>
    <xf numFmtId="174" fontId="117" fillId="34" borderId="126" xfId="0" applyNumberFormat="1" applyFont="1" applyFill="1" applyBorder="1" applyAlignment="1">
      <alignment horizontal="center" vertical="center"/>
    </xf>
    <xf numFmtId="9" fontId="41" fillId="0" borderId="122" xfId="2" applyFont="1" applyFill="1" applyBorder="1" applyAlignment="1">
      <alignment horizontal="center" vertical="center" wrapText="1"/>
    </xf>
    <xf numFmtId="0" fontId="118" fillId="0" borderId="0" xfId="0" applyFont="1" applyBorder="1" applyAlignment="1">
      <alignment horizontal="center"/>
    </xf>
    <xf numFmtId="0" fontId="118" fillId="0" borderId="11" xfId="0" applyFont="1" applyBorder="1" applyAlignment="1">
      <alignment horizontal="center"/>
    </xf>
    <xf numFmtId="174" fontId="0" fillId="0" borderId="125" xfId="0" applyNumberFormat="1" applyBorder="1" applyAlignment="1">
      <alignment horizontal="center"/>
    </xf>
    <xf numFmtId="174" fontId="0" fillId="0" borderId="0" xfId="0" applyNumberFormat="1" applyBorder="1" applyAlignment="1">
      <alignment horizontal="center"/>
    </xf>
    <xf numFmtId="0" fontId="118" fillId="0" borderId="75" xfId="0" applyFont="1" applyBorder="1" applyAlignment="1">
      <alignment horizontal="center"/>
    </xf>
    <xf numFmtId="0" fontId="118" fillId="0" borderId="77" xfId="0" applyFont="1" applyBorder="1" applyAlignment="1">
      <alignment horizontal="center" wrapText="1"/>
    </xf>
    <xf numFmtId="9" fontId="0" fillId="0" borderId="108" xfId="0" applyNumberFormat="1" applyBorder="1"/>
    <xf numFmtId="0" fontId="118" fillId="0" borderId="77" xfId="0" applyFont="1" applyBorder="1" applyAlignment="1">
      <alignment horizontal="center"/>
    </xf>
    <xf numFmtId="0" fontId="118" fillId="0" borderId="83" xfId="0" applyFont="1" applyBorder="1" applyAlignment="1">
      <alignment horizontal="center"/>
    </xf>
    <xf numFmtId="0" fontId="0" fillId="0" borderId="94" xfId="0" applyBorder="1"/>
    <xf numFmtId="0" fontId="0" fillId="0" borderId="108" xfId="0" applyBorder="1" applyAlignment="1">
      <alignment horizontal="right" wrapText="1"/>
    </xf>
    <xf numFmtId="0" fontId="17" fillId="0" borderId="0" xfId="0" applyFont="1"/>
    <xf numFmtId="37" fontId="17" fillId="0" borderId="62" xfId="5" applyNumberFormat="1" applyFont="1" applyBorder="1" applyAlignment="1">
      <alignment horizontal="center"/>
    </xf>
    <xf numFmtId="0" fontId="121" fillId="0" borderId="0" xfId="0" applyFont="1"/>
    <xf numFmtId="39" fontId="17" fillId="0" borderId="6" xfId="5" applyNumberFormat="1" applyFont="1" applyFill="1" applyBorder="1" applyAlignment="1">
      <alignment horizontal="center"/>
    </xf>
    <xf numFmtId="188" fontId="0" fillId="0" borderId="0" xfId="0" applyNumberFormat="1"/>
    <xf numFmtId="0" fontId="0" fillId="0" borderId="0" xfId="0" applyAlignment="1">
      <alignment horizontal="right"/>
    </xf>
    <xf numFmtId="0" fontId="12" fillId="0" borderId="81" xfId="0" applyFont="1" applyBorder="1"/>
    <xf numFmtId="37" fontId="11" fillId="0" borderId="71" xfId="0" applyNumberFormat="1" applyFont="1" applyBorder="1" applyAlignment="1">
      <alignment horizontal="center"/>
    </xf>
    <xf numFmtId="37" fontId="11" fillId="0" borderId="78" xfId="0" applyNumberFormat="1" applyFont="1" applyBorder="1" applyAlignment="1">
      <alignment horizontal="center"/>
    </xf>
    <xf numFmtId="37" fontId="11" fillId="0" borderId="111" xfId="0" applyNumberFormat="1" applyFont="1" applyBorder="1" applyAlignment="1">
      <alignment horizontal="center"/>
    </xf>
    <xf numFmtId="0" fontId="12" fillId="0" borderId="73" xfId="0" applyFont="1" applyBorder="1"/>
    <xf numFmtId="0" fontId="12" fillId="0" borderId="74" xfId="0" applyFont="1" applyBorder="1"/>
    <xf numFmtId="174" fontId="12" fillId="0" borderId="67" xfId="5" applyNumberFormat="1" applyFont="1" applyFill="1" applyBorder="1" applyAlignment="1">
      <alignment horizontal="center"/>
    </xf>
    <xf numFmtId="174" fontId="12" fillId="0" borderId="73" xfId="0" applyNumberFormat="1" applyFont="1" applyBorder="1" applyAlignment="1">
      <alignment horizontal="center"/>
    </xf>
    <xf numFmtId="174" fontId="11" fillId="0" borderId="67" xfId="5" applyNumberFormat="1" applyFont="1" applyFill="1" applyBorder="1" applyAlignment="1">
      <alignment horizontal="center"/>
    </xf>
    <xf numFmtId="174" fontId="11" fillId="0" borderId="0" xfId="5" applyNumberFormat="1" applyFont="1" applyFill="1" applyBorder="1" applyAlignment="1">
      <alignment horizontal="center"/>
    </xf>
    <xf numFmtId="174" fontId="11" fillId="0" borderId="0" xfId="0" applyNumberFormat="1" applyFont="1" applyAlignment="1">
      <alignment horizontal="center"/>
    </xf>
    <xf numFmtId="0" fontId="0" fillId="34" borderId="14" xfId="0" applyFill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0" fontId="0" fillId="34" borderId="76" xfId="0" applyFill="1" applyBorder="1" applyAlignment="1">
      <alignment horizontal="center" vertical="center" wrapText="1"/>
    </xf>
    <xf numFmtId="0" fontId="34" fillId="36" borderId="62" xfId="0" applyFont="1" applyFill="1" applyBorder="1" applyAlignment="1">
      <alignment horizontal="center" vertical="center" wrapText="1"/>
    </xf>
    <xf numFmtId="37" fontId="11" fillId="6" borderId="67" xfId="5" applyNumberFormat="1" applyFont="1" applyFill="1" applyBorder="1" applyAlignment="1">
      <alignment horizontal="center"/>
    </xf>
    <xf numFmtId="37" fontId="11" fillId="6" borderId="0" xfId="5" applyNumberFormat="1" applyFont="1" applyFill="1" applyBorder="1" applyAlignment="1">
      <alignment horizontal="center"/>
    </xf>
    <xf numFmtId="0" fontId="0" fillId="0" borderId="108" xfId="0" applyBorder="1" applyAlignment="1">
      <alignment wrapText="1"/>
    </xf>
    <xf numFmtId="37" fontId="11" fillId="0" borderId="0" xfId="0" applyNumberFormat="1" applyFont="1" applyBorder="1" applyAlignment="1">
      <alignment horizontal="center"/>
    </xf>
    <xf numFmtId="0" fontId="34" fillId="36" borderId="0" xfId="0" applyFont="1" applyFill="1" applyBorder="1" applyAlignment="1">
      <alignment horizontal="center" vertical="center" wrapText="1"/>
    </xf>
    <xf numFmtId="4" fontId="0" fillId="0" borderId="122" xfId="0" applyNumberFormat="1" applyBorder="1" applyAlignment="1">
      <alignment horizontal="center" vertical="center" wrapText="1"/>
    </xf>
    <xf numFmtId="4" fontId="0" fillId="0" borderId="63" xfId="0" applyNumberFormat="1" applyBorder="1" applyAlignment="1">
      <alignment horizontal="center" vertical="center" wrapText="1"/>
    </xf>
    <xf numFmtId="4" fontId="0" fillId="0" borderId="80" xfId="0" applyNumberFormat="1" applyBorder="1" applyAlignment="1">
      <alignment horizontal="center" vertical="center" wrapText="1"/>
    </xf>
    <xf numFmtId="4" fontId="0" fillId="0" borderId="76" xfId="0" applyNumberFormat="1" applyBorder="1" applyAlignment="1">
      <alignment horizontal="center" vertical="center" wrapText="1"/>
    </xf>
    <xf numFmtId="4" fontId="0" fillId="0" borderId="105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6" fontId="0" fillId="0" borderId="76" xfId="0" applyNumberFormat="1" applyBorder="1" applyAlignment="1">
      <alignment horizontal="center" vertical="center" wrapText="1"/>
    </xf>
    <xf numFmtId="4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88" fontId="41" fillId="5" borderId="35" xfId="558" applyNumberFormat="1" applyFont="1" applyFill="1" applyBorder="1" applyAlignment="1">
      <alignment horizontal="center" vertical="center" wrapText="1"/>
    </xf>
    <xf numFmtId="188" fontId="41" fillId="5" borderId="64" xfId="558" applyNumberFormat="1" applyFont="1" applyFill="1" applyBorder="1" applyAlignment="1">
      <alignment horizontal="center" vertical="center" wrapText="1"/>
    </xf>
    <xf numFmtId="174" fontId="0" fillId="0" borderId="63" xfId="0" applyNumberFormat="1" applyBorder="1" applyAlignment="1">
      <alignment horizontal="center" vertical="center" wrapText="1"/>
    </xf>
    <xf numFmtId="174" fontId="0" fillId="0" borderId="14" xfId="0" applyNumberFormat="1" applyBorder="1" applyAlignment="1">
      <alignment horizontal="center" vertical="center" wrapText="1"/>
    </xf>
    <xf numFmtId="10" fontId="2" fillId="5" borderId="0" xfId="2" applyNumberFormat="1" applyFont="1" applyFill="1" applyBorder="1"/>
    <xf numFmtId="10" fontId="20" fillId="0" borderId="61" xfId="2" applyNumberFormat="1" applyFont="1" applyFill="1" applyBorder="1" applyAlignment="1">
      <alignment horizontal="center"/>
    </xf>
    <xf numFmtId="37" fontId="2" fillId="5" borderId="129" xfId="9" applyNumberFormat="1" applyFont="1" applyFill="1" applyBorder="1" applyAlignment="1">
      <alignment horizontal="center"/>
    </xf>
    <xf numFmtId="37" fontId="20" fillId="5" borderId="9" xfId="9" applyNumberFormat="1" applyFont="1" applyFill="1" applyBorder="1" applyAlignment="1">
      <alignment horizontal="center"/>
    </xf>
    <xf numFmtId="37" fontId="2" fillId="5" borderId="9" xfId="9" applyNumberFormat="1" applyFont="1" applyFill="1" applyBorder="1" applyAlignment="1">
      <alignment horizontal="center"/>
    </xf>
    <xf numFmtId="37" fontId="20" fillId="5" borderId="97" xfId="9" applyNumberFormat="1" applyFont="1" applyFill="1" applyBorder="1" applyAlignment="1">
      <alignment horizontal="center"/>
    </xf>
    <xf numFmtId="37" fontId="2" fillId="5" borderId="130" xfId="9" applyNumberFormat="1" applyFont="1" applyFill="1" applyBorder="1" applyAlignment="1">
      <alignment horizontal="center"/>
    </xf>
    <xf numFmtId="37" fontId="20" fillId="5" borderId="131" xfId="9" applyNumberFormat="1" applyFont="1" applyFill="1" applyBorder="1" applyAlignment="1">
      <alignment horizontal="center"/>
    </xf>
    <xf numFmtId="37" fontId="2" fillId="5" borderId="67" xfId="9" applyNumberFormat="1" applyFont="1" applyFill="1" applyBorder="1" applyAlignment="1">
      <alignment horizontal="center"/>
    </xf>
    <xf numFmtId="37" fontId="20" fillId="5" borderId="67" xfId="9" applyNumberFormat="1" applyFont="1" applyFill="1" applyBorder="1" applyAlignment="1">
      <alignment horizontal="center"/>
    </xf>
    <xf numFmtId="37" fontId="2" fillId="5" borderId="81" xfId="9" applyNumberFormat="1" applyFont="1" applyFill="1" applyBorder="1" applyAlignment="1">
      <alignment horizontal="center"/>
    </xf>
    <xf numFmtId="37" fontId="20" fillId="5" borderId="71" xfId="9" applyNumberFormat="1" applyFont="1" applyFill="1" applyBorder="1" applyAlignment="1">
      <alignment horizontal="center"/>
    </xf>
    <xf numFmtId="10" fontId="11" fillId="9" borderId="7" xfId="2" applyNumberFormat="1" applyFont="1" applyFill="1" applyBorder="1" applyAlignment="1">
      <alignment horizontal="center"/>
    </xf>
    <xf numFmtId="0" fontId="0" fillId="0" borderId="75" xfId="0" applyBorder="1"/>
    <xf numFmtId="0" fontId="0" fillId="0" borderId="77" xfId="0" applyBorder="1"/>
    <xf numFmtId="0" fontId="0" fillId="0" borderId="79" xfId="0" applyBorder="1"/>
    <xf numFmtId="3" fontId="0" fillId="0" borderId="108" xfId="0" applyNumberFormat="1" applyBorder="1" applyAlignment="1">
      <alignment horizontal="right" wrapText="1"/>
    </xf>
    <xf numFmtId="0" fontId="27" fillId="0" borderId="3" xfId="0" quotePrefix="1" applyFont="1" applyBorder="1" applyAlignment="1">
      <alignment horizontal="center" wrapText="1"/>
    </xf>
    <xf numFmtId="0" fontId="118" fillId="0" borderId="79" xfId="0" applyFont="1" applyFill="1" applyBorder="1" applyAlignment="1">
      <alignment horizontal="center" wrapText="1"/>
    </xf>
    <xf numFmtId="0" fontId="0" fillId="0" borderId="125" xfId="0" applyBorder="1" applyAlignment="1">
      <alignment horizontal="right" wrapText="1"/>
    </xf>
    <xf numFmtId="0" fontId="0" fillId="0" borderId="75" xfId="0" applyBorder="1" applyAlignment="1">
      <alignment wrapText="1"/>
    </xf>
    <xf numFmtId="10" fontId="11" fillId="0" borderId="6" xfId="0" applyNumberFormat="1" applyFont="1" applyBorder="1"/>
    <xf numFmtId="10" fontId="0" fillId="0" borderId="93" xfId="2" applyNumberFormat="1" applyFont="1" applyBorder="1" applyAlignment="1">
      <alignment horizontal="center"/>
    </xf>
    <xf numFmtId="174" fontId="0" fillId="0" borderId="78" xfId="0" applyNumberFormat="1" applyBorder="1" applyAlignment="1">
      <alignment horizontal="center"/>
    </xf>
    <xf numFmtId="174" fontId="0" fillId="0" borderId="111" xfId="0" applyNumberFormat="1" applyBorder="1" applyAlignment="1">
      <alignment horizontal="center"/>
    </xf>
    <xf numFmtId="174" fontId="0" fillId="0" borderId="72" xfId="0" applyNumberFormat="1" applyBorder="1" applyAlignment="1">
      <alignment horizontal="center"/>
    </xf>
    <xf numFmtId="37" fontId="2" fillId="5" borderId="71" xfId="9" applyNumberFormat="1" applyFont="1" applyFill="1" applyBorder="1" applyAlignment="1">
      <alignment horizontal="center"/>
    </xf>
    <xf numFmtId="37" fontId="2" fillId="5" borderId="67" xfId="5" applyNumberFormat="1" applyFont="1" applyFill="1" applyBorder="1" applyAlignment="1">
      <alignment horizontal="center"/>
    </xf>
    <xf numFmtId="37" fontId="2" fillId="5" borderId="71" xfId="5" applyNumberFormat="1" applyFont="1" applyFill="1" applyBorder="1" applyAlignment="1">
      <alignment horizontal="center"/>
    </xf>
    <xf numFmtId="0" fontId="0" fillId="0" borderId="108" xfId="0" applyBorder="1"/>
    <xf numFmtId="174" fontId="0" fillId="0" borderId="108" xfId="0" applyNumberFormat="1" applyBorder="1"/>
    <xf numFmtId="0" fontId="0" fillId="0" borderId="108" xfId="0" applyBorder="1" applyAlignment="1">
      <alignment horizontal="right"/>
    </xf>
    <xf numFmtId="14" fontId="0" fillId="0" borderId="108" xfId="0" applyNumberFormat="1" applyBorder="1"/>
    <xf numFmtId="0" fontId="0" fillId="0" borderId="125" xfId="0" applyBorder="1" applyAlignment="1">
      <alignment horizontal="right"/>
    </xf>
    <xf numFmtId="0" fontId="0" fillId="0" borderId="93" xfId="0" applyBorder="1" applyAlignment="1">
      <alignment wrapText="1"/>
    </xf>
    <xf numFmtId="0" fontId="117" fillId="38" borderId="12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3" fontId="117" fillId="5" borderId="122" xfId="558" applyNumberFormat="1" applyFont="1" applyFill="1" applyBorder="1" applyProtection="1">
      <protection locked="0"/>
    </xf>
    <xf numFmtId="0" fontId="117" fillId="38" borderId="122" xfId="560" applyFont="1" applyFill="1" applyBorder="1" applyProtection="1">
      <protection locked="0"/>
    </xf>
    <xf numFmtId="165" fontId="117" fillId="38" borderId="122" xfId="2" applyNumberFormat="1" applyFont="1" applyFill="1" applyBorder="1" applyProtection="1">
      <protection locked="0"/>
    </xf>
    <xf numFmtId="6" fontId="117" fillId="5" borderId="122" xfId="558" applyNumberFormat="1" applyFont="1" applyFill="1" applyBorder="1" applyProtection="1">
      <protection locked="0"/>
    </xf>
    <xf numFmtId="164" fontId="117" fillId="38" borderId="122" xfId="559" applyNumberFormat="1" applyFont="1" applyFill="1" applyBorder="1"/>
    <xf numFmtId="0" fontId="41" fillId="38" borderId="122" xfId="0" applyFont="1" applyFill="1" applyBorder="1" applyAlignment="1" applyProtection="1">
      <alignment wrapText="1"/>
      <protection locked="0"/>
    </xf>
    <xf numFmtId="0" fontId="117" fillId="38" borderId="122" xfId="0" applyFont="1" applyFill="1" applyBorder="1" applyAlignment="1" applyProtection="1">
      <alignment wrapText="1"/>
      <protection locked="0"/>
    </xf>
    <xf numFmtId="0" fontId="90" fillId="0" borderId="0" xfId="0" applyFont="1" applyAlignment="1">
      <alignment horizontal="center"/>
    </xf>
    <xf numFmtId="0" fontId="12" fillId="29" borderId="2" xfId="0" applyFont="1" applyFill="1" applyBorder="1" applyAlignment="1">
      <alignment horizontal="center"/>
    </xf>
    <xf numFmtId="0" fontId="12" fillId="29" borderId="3" xfId="0" applyFont="1" applyFill="1" applyBorder="1" applyAlignment="1">
      <alignment horizontal="center"/>
    </xf>
    <xf numFmtId="0" fontId="12" fillId="29" borderId="4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29" borderId="11" xfId="0" applyFont="1" applyFill="1" applyBorder="1" applyAlignment="1">
      <alignment horizontal="center" vertical="top"/>
    </xf>
    <xf numFmtId="0" fontId="11" fillId="0" borderId="1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22" fillId="0" borderId="65" xfId="6" applyBorder="1" applyAlignment="1">
      <alignment horizontal="center"/>
    </xf>
    <xf numFmtId="0" fontId="22" fillId="0" borderId="60" xfId="6" applyBorder="1" applyAlignment="1">
      <alignment horizontal="center"/>
    </xf>
    <xf numFmtId="0" fontId="22" fillId="0" borderId="61" xfId="6" applyBorder="1" applyAlignment="1">
      <alignment horizontal="center"/>
    </xf>
    <xf numFmtId="0" fontId="11" fillId="30" borderId="0" xfId="0" applyFont="1" applyFill="1" applyAlignment="1">
      <alignment horizontal="left"/>
    </xf>
    <xf numFmtId="0" fontId="11" fillId="30" borderId="40" xfId="0" applyFont="1" applyFill="1" applyBorder="1" applyAlignment="1">
      <alignment horizontal="left"/>
    </xf>
    <xf numFmtId="0" fontId="33" fillId="29" borderId="2" xfId="0" quotePrefix="1" applyFont="1" applyFill="1" applyBorder="1" applyAlignment="1">
      <alignment horizontal="center" vertical="center"/>
    </xf>
    <xf numFmtId="0" fontId="33" fillId="29" borderId="3" xfId="0" quotePrefix="1" applyFont="1" applyFill="1" applyBorder="1" applyAlignment="1">
      <alignment horizontal="center" vertical="center"/>
    </xf>
    <xf numFmtId="0" fontId="33" fillId="29" borderId="4" xfId="0" quotePrefix="1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6" borderId="0" xfId="0" applyFont="1" applyFill="1" applyAlignment="1">
      <alignment horizontal="left"/>
    </xf>
    <xf numFmtId="0" fontId="11" fillId="6" borderId="40" xfId="0" applyFont="1" applyFill="1" applyBorder="1" applyAlignment="1">
      <alignment horizontal="left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29" borderId="0" xfId="0" applyFont="1" applyFill="1" applyAlignment="1">
      <alignment horizontal="center" vertical="top"/>
    </xf>
    <xf numFmtId="0" fontId="33" fillId="0" borderId="4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9" borderId="2" xfId="0" applyFont="1" applyFill="1" applyBorder="1" applyAlignment="1">
      <alignment horizontal="center"/>
    </xf>
    <xf numFmtId="0" fontId="4" fillId="29" borderId="3" xfId="0" applyFont="1" applyFill="1" applyBorder="1" applyAlignment="1">
      <alignment horizontal="center"/>
    </xf>
    <xf numFmtId="0" fontId="4" fillId="29" borderId="4" xfId="0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11" fillId="0" borderId="17" xfId="0" quotePrefix="1" applyFont="1" applyBorder="1" applyAlignment="1">
      <alignment horizontal="center" vertical="center" wrapText="1"/>
    </xf>
    <xf numFmtId="0" fontId="11" fillId="0" borderId="16" xfId="0" quotePrefix="1" applyFont="1" applyBorder="1" applyAlignment="1">
      <alignment horizontal="center" vertical="center" wrapText="1"/>
    </xf>
    <xf numFmtId="0" fontId="11" fillId="0" borderId="18" xfId="0" quotePrefix="1" applyFont="1" applyBorder="1" applyAlignment="1">
      <alignment horizontal="center" vertical="center" wrapText="1"/>
    </xf>
    <xf numFmtId="0" fontId="11" fillId="0" borderId="41" xfId="0" quotePrefix="1" applyFont="1" applyBorder="1" applyAlignment="1">
      <alignment horizontal="center" vertical="center" wrapText="1"/>
    </xf>
    <xf numFmtId="0" fontId="11" fillId="0" borderId="11" xfId="0" quotePrefix="1" applyFont="1" applyBorder="1" applyAlignment="1">
      <alignment horizontal="center" vertical="center" wrapText="1"/>
    </xf>
    <xf numFmtId="0" fontId="11" fillId="0" borderId="42" xfId="0" quotePrefix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4" fillId="0" borderId="11" xfId="0" applyFont="1" applyBorder="1" applyAlignment="1">
      <alignment horizontal="left"/>
    </xf>
    <xf numFmtId="0" fontId="16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40" xfId="0" applyFont="1" applyBorder="1" applyAlignment="1">
      <alignment horizontal="left"/>
    </xf>
    <xf numFmtId="0" fontId="22" fillId="0" borderId="0" xfId="6" applyBorder="1" applyAlignment="1">
      <alignment horizontal="left"/>
    </xf>
    <xf numFmtId="0" fontId="11" fillId="28" borderId="0" xfId="0" applyFont="1" applyFill="1" applyAlignment="1">
      <alignment horizontal="left"/>
    </xf>
    <xf numFmtId="0" fontId="11" fillId="28" borderId="4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13" fillId="0" borderId="1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29" borderId="0" xfId="0" applyFont="1" applyFill="1" applyAlignment="1">
      <alignment horizontal="left" vertical="top"/>
    </xf>
    <xf numFmtId="0" fontId="13" fillId="29" borderId="16" xfId="0" applyFont="1" applyFill="1" applyBorder="1" applyAlignment="1">
      <alignment horizontal="left" vertical="top"/>
    </xf>
    <xf numFmtId="0" fontId="16" fillId="0" borderId="0" xfId="0" quotePrefix="1" applyFont="1" applyAlignment="1">
      <alignment horizontal="left"/>
    </xf>
    <xf numFmtId="0" fontId="118" fillId="0" borderId="126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20" fillId="6" borderId="2" xfId="0" applyFont="1" applyFill="1" applyBorder="1" applyAlignment="1">
      <alignment horizontal="center"/>
    </xf>
    <xf numFmtId="0" fontId="120" fillId="6" borderId="3" xfId="0" applyFont="1" applyFill="1" applyBorder="1" applyAlignment="1">
      <alignment horizontal="center"/>
    </xf>
    <xf numFmtId="0" fontId="120" fillId="6" borderId="4" xfId="0" applyFont="1" applyFill="1" applyBorder="1" applyAlignment="1">
      <alignment horizontal="center"/>
    </xf>
    <xf numFmtId="0" fontId="118" fillId="0" borderId="11" xfId="0" applyFont="1" applyBorder="1" applyAlignment="1">
      <alignment horizontal="center"/>
    </xf>
    <xf numFmtId="0" fontId="41" fillId="0" borderId="123" xfId="558" applyFont="1" applyFill="1" applyBorder="1" applyAlignment="1">
      <alignment horizontal="center"/>
    </xf>
    <xf numFmtId="0" fontId="41" fillId="0" borderId="124" xfId="558" applyFont="1" applyFill="1" applyBorder="1" applyAlignment="1">
      <alignment horizontal="center"/>
    </xf>
    <xf numFmtId="0" fontId="118" fillId="0" borderId="72" xfId="0" applyFont="1" applyBorder="1" applyAlignment="1">
      <alignment horizontal="center" wrapText="1"/>
    </xf>
    <xf numFmtId="0" fontId="118" fillId="0" borderId="74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128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2" fillId="5" borderId="60" xfId="9" quotePrefix="1" applyNumberFormat="1" applyFont="1" applyFill="1" applyBorder="1" applyAlignment="1">
      <alignment horizontal="center"/>
    </xf>
    <xf numFmtId="166" fontId="2" fillId="5" borderId="114" xfId="9" quotePrefix="1" applyNumberFormat="1" applyFont="1" applyFill="1" applyBorder="1" applyAlignment="1">
      <alignment horizontal="center"/>
    </xf>
    <xf numFmtId="166" fontId="2" fillId="5" borderId="115" xfId="9" quotePrefix="1" applyNumberFormat="1" applyFont="1" applyFill="1" applyBorder="1" applyAlignment="1">
      <alignment horizontal="center"/>
    </xf>
    <xf numFmtId="166" fontId="2" fillId="5" borderId="0" xfId="9" quotePrefix="1" applyNumberFormat="1" applyFont="1" applyFill="1" applyBorder="1" applyAlignment="1">
      <alignment horizontal="center"/>
    </xf>
    <xf numFmtId="166" fontId="2" fillId="5" borderId="61" xfId="9" quotePrefix="1" applyNumberFormat="1" applyFont="1" applyFill="1" applyBorder="1" applyAlignment="1">
      <alignment horizontal="center"/>
    </xf>
    <xf numFmtId="166" fontId="4" fillId="5" borderId="65" xfId="9" applyNumberFormat="1" applyFont="1" applyFill="1" applyBorder="1" applyAlignment="1">
      <alignment horizontal="center" wrapText="1"/>
    </xf>
    <xf numFmtId="166" fontId="4" fillId="5" borderId="61" xfId="9" applyNumberFormat="1" applyFont="1" applyFill="1" applyBorder="1" applyAlignment="1">
      <alignment horizontal="center" wrapText="1"/>
    </xf>
    <xf numFmtId="166" fontId="4" fillId="5" borderId="65" xfId="9" applyNumberFormat="1" applyFont="1" applyFill="1" applyBorder="1" applyAlignment="1">
      <alignment horizontal="center"/>
    </xf>
    <xf numFmtId="166" fontId="4" fillId="5" borderId="61" xfId="9" applyNumberFormat="1" applyFont="1" applyFill="1" applyBorder="1" applyAlignment="1">
      <alignment horizontal="center"/>
    </xf>
    <xf numFmtId="166" fontId="4" fillId="0" borderId="60" xfId="9" quotePrefix="1" applyNumberFormat="1" applyFont="1" applyFill="1" applyBorder="1" applyAlignment="1">
      <alignment horizontal="center"/>
    </xf>
    <xf numFmtId="43" fontId="112" fillId="0" borderId="0" xfId="9" applyFont="1" applyFill="1" applyBorder="1" applyAlignment="1">
      <alignment horizontal="center"/>
    </xf>
    <xf numFmtId="0" fontId="11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15" fillId="2" borderId="64" xfId="0" applyFont="1" applyFill="1" applyBorder="1" applyAlignment="1">
      <alignment horizontal="left"/>
    </xf>
    <xf numFmtId="0" fontId="15" fillId="2" borderId="60" xfId="0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0" fillId="0" borderId="0" xfId="0" applyFont="1" applyAlignment="1"/>
    <xf numFmtId="0" fontId="95" fillId="0" borderId="0" xfId="0" applyFont="1" applyAlignment="1">
      <alignment horizontal="center"/>
    </xf>
    <xf numFmtId="0" fontId="12" fillId="12" borderId="2" xfId="0" applyFont="1" applyFill="1" applyBorder="1" applyAlignment="1">
      <alignment horizontal="center"/>
    </xf>
    <xf numFmtId="0" fontId="12" fillId="12" borderId="3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2" fillId="0" borderId="0" xfId="0" applyFont="1" applyAlignment="1"/>
    <xf numFmtId="0" fontId="39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11" xfId="0" applyFont="1" applyBorder="1" applyAlignment="1"/>
    <xf numFmtId="0" fontId="93" fillId="0" borderId="2" xfId="0" applyFont="1" applyBorder="1" applyAlignment="1">
      <alignment horizontal="center"/>
    </xf>
    <xf numFmtId="0" fontId="93" fillId="0" borderId="3" xfId="0" applyFont="1" applyBorder="1" applyAlignment="1">
      <alignment horizontal="center"/>
    </xf>
    <xf numFmtId="2" fontId="104" fillId="12" borderId="2" xfId="0" applyNumberFormat="1" applyFont="1" applyFill="1" applyBorder="1" applyAlignment="1">
      <alignment horizontal="center"/>
    </xf>
    <xf numFmtId="2" fontId="104" fillId="12" borderId="3" xfId="0" applyNumberFormat="1" applyFont="1" applyFill="1" applyBorder="1" applyAlignment="1">
      <alignment horizontal="center"/>
    </xf>
    <xf numFmtId="2" fontId="104" fillId="12" borderId="4" xfId="0" applyNumberFormat="1" applyFont="1" applyFill="1" applyBorder="1" applyAlignment="1">
      <alignment horizontal="center"/>
    </xf>
    <xf numFmtId="0" fontId="4" fillId="0" borderId="81" xfId="0" applyFont="1" applyBorder="1" applyAlignment="1"/>
    <xf numFmtId="0" fontId="4" fillId="0" borderId="67" xfId="0" applyFont="1" applyBorder="1" applyAlignment="1"/>
    <xf numFmtId="0" fontId="15" fillId="2" borderId="8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41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80" fontId="11" fillId="0" borderId="39" xfId="0" applyNumberFormat="1" applyFont="1" applyBorder="1" applyAlignment="1">
      <alignment horizontal="center"/>
    </xf>
    <xf numFmtId="180" fontId="11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center"/>
    </xf>
    <xf numFmtId="180" fontId="11" fillId="0" borderId="41" xfId="0" applyNumberFormat="1" applyFont="1" applyBorder="1" applyAlignment="1">
      <alignment horizontal="center"/>
    </xf>
    <xf numFmtId="180" fontId="11" fillId="0" borderId="11" xfId="0" applyNumberFormat="1" applyFont="1" applyBorder="1" applyAlignment="1">
      <alignment horizontal="center"/>
    </xf>
    <xf numFmtId="37" fontId="11" fillId="0" borderId="11" xfId="0" applyNumberFormat="1" applyFont="1" applyBorder="1" applyAlignment="1">
      <alignment horizontal="center"/>
    </xf>
    <xf numFmtId="0" fontId="4" fillId="11" borderId="2" xfId="54" applyFont="1" applyFill="1" applyBorder="1" applyAlignment="1">
      <alignment horizontal="center"/>
    </xf>
    <xf numFmtId="0" fontId="4" fillId="11" borderId="3" xfId="54" applyFont="1" applyFill="1" applyBorder="1" applyAlignment="1">
      <alignment horizontal="center"/>
    </xf>
    <xf numFmtId="0" fontId="4" fillId="11" borderId="4" xfId="54" applyFont="1" applyFill="1" applyBorder="1" applyAlignment="1">
      <alignment horizontal="center"/>
    </xf>
    <xf numFmtId="0" fontId="90" fillId="0" borderId="0" xfId="54" applyFont="1" applyAlignment="1">
      <alignment horizontal="center"/>
    </xf>
    <xf numFmtId="0" fontId="4" fillId="0" borderId="0" xfId="54" applyFont="1" applyAlignment="1">
      <alignment horizontal="center"/>
    </xf>
    <xf numFmtId="0" fontId="90" fillId="0" borderId="0" xfId="554" applyFont="1" applyAlignment="1">
      <alignment horizontal="center"/>
    </xf>
    <xf numFmtId="0" fontId="36" fillId="0" borderId="11" xfId="554" applyFont="1" applyBorder="1" applyAlignment="1">
      <alignment horizontal="center"/>
    </xf>
    <xf numFmtId="0" fontId="11" fillId="0" borderId="60" xfId="554" applyFont="1" applyBorder="1" applyAlignment="1">
      <alignment horizontal="center"/>
    </xf>
    <xf numFmtId="0" fontId="32" fillId="2" borderId="64" xfId="0" applyFont="1" applyFill="1" applyBorder="1" applyAlignment="1">
      <alignment horizontal="left"/>
    </xf>
    <xf numFmtId="0" fontId="32" fillId="2" borderId="62" xfId="0" applyFont="1" applyFill="1" applyBorder="1" applyAlignment="1">
      <alignment horizontal="left"/>
    </xf>
    <xf numFmtId="0" fontId="34" fillId="0" borderId="108" xfId="0" applyFont="1" applyFill="1" applyBorder="1"/>
  </cellXfs>
  <cellStyles count="561">
    <cellStyle name="20% - Accent1 2" xfId="507" xr:uid="{FA40D7AB-C00C-48B2-A4CD-38AA54969E8D}"/>
    <cellStyle name="20% - Accent2 2" xfId="508" xr:uid="{EBC1AC37-18BF-4F8C-A40E-E6B6F6B9A20E}"/>
    <cellStyle name="20% - Accent3 2" xfId="509" xr:uid="{61189B95-91DD-425E-ADE4-FB2BCF8963D1}"/>
    <cellStyle name="20% - Accent4 2" xfId="510" xr:uid="{2983B654-913A-4833-B634-A053489FD3D9}"/>
    <cellStyle name="20% - Accent5 2" xfId="511" xr:uid="{7444D51C-3213-4FBF-86F5-8D7E4D9FE26E}"/>
    <cellStyle name="20% - Accent6 2" xfId="512" xr:uid="{099BD854-7DCF-4B2E-A9E1-70E46BF7852B}"/>
    <cellStyle name="40% - Accent1 2" xfId="513" xr:uid="{ACA4774E-1C36-4B75-AD40-782FBB116D10}"/>
    <cellStyle name="40% - Accent2 2" xfId="514" xr:uid="{6DA423B9-50D1-41F9-B73F-2047D4A40971}"/>
    <cellStyle name="40% - Accent3 2" xfId="515" xr:uid="{A834F1DE-5589-475A-BB76-796916F3EB23}"/>
    <cellStyle name="40% - Accent4 2" xfId="516" xr:uid="{986617DC-7257-4D42-8FAF-E667231CCEA8}"/>
    <cellStyle name="40% - Accent5 2" xfId="517" xr:uid="{7DC0AE0A-50E9-4056-BFB4-94906DA12D51}"/>
    <cellStyle name="40% - Accent6 2" xfId="518" xr:uid="{31A075D5-4BD4-4650-9D86-AC6DDE066152}"/>
    <cellStyle name="60% - Accent1 2" xfId="519" xr:uid="{D194A74F-6EF8-44B5-AF1D-BBB996C6489E}"/>
    <cellStyle name="60% - Accent2 2" xfId="520" xr:uid="{97F127D5-27AE-4BAC-B724-5ABB61424772}"/>
    <cellStyle name="60% - Accent3 2" xfId="521" xr:uid="{AA06FC91-AF9A-41DB-949A-673E5AE40ADD}"/>
    <cellStyle name="60% - Accent4 2" xfId="522" xr:uid="{963DDE7E-68AF-4638-8822-280B01B20B3A}"/>
    <cellStyle name="60% - Accent5 2" xfId="523" xr:uid="{D406071F-3615-45B9-9A77-31F25E0687DC}"/>
    <cellStyle name="60% - Accent6 2" xfId="524" xr:uid="{546E3F18-A166-4124-AD6A-70ACCAA943B7}"/>
    <cellStyle name="Accent1 2" xfId="525" xr:uid="{25096551-B330-4E74-A8BF-5EDBD91C4BE2}"/>
    <cellStyle name="Accent2 2" xfId="526" xr:uid="{6E22B4C4-51A0-4D65-86A3-BDB844C1C479}"/>
    <cellStyle name="Accent3 2" xfId="527" xr:uid="{3A11032A-8749-4B37-A9B0-EC192751A830}"/>
    <cellStyle name="Accent4 2" xfId="528" xr:uid="{4331C3C4-FDC6-46A8-A962-F549769D09CC}"/>
    <cellStyle name="Accent5 2" xfId="529" xr:uid="{D58099D1-E11E-4E8C-9FBB-5585986FCA05}"/>
    <cellStyle name="Accent6 2" xfId="530" xr:uid="{194BA3C7-4AF5-4B74-B1DD-535C8887F8B9}"/>
    <cellStyle name="Bad 2" xfId="531" xr:uid="{FE1A9DE2-43A1-4056-A5BE-16FB6698F453}"/>
    <cellStyle name="Calculation" xfId="560" builtinId="22"/>
    <cellStyle name="Calculation 2" xfId="532" xr:uid="{24CE4E62-A1C4-4962-A6F1-46D26DFFFAF9}"/>
    <cellStyle name="Check Cell 2" xfId="533" xr:uid="{F021815A-6E1B-46D8-BE70-8E1074412283}"/>
    <cellStyle name="Comma" xfId="5" builtinId="3"/>
    <cellStyle name="Comma (_)" xfId="455" xr:uid="{B0FB7DDA-D3C7-4C1F-8321-44BC40A19401}"/>
    <cellStyle name="Comma (0)" xfId="456" xr:uid="{EA2BB87B-57E7-41D6-B788-05925B7C1A61}"/>
    <cellStyle name="Comma (0.00)" xfId="457" xr:uid="{4DE0676D-8640-43BA-B270-13BAD3B644CD}"/>
    <cellStyle name="Comma 10" xfId="10" xr:uid="{A734D2E6-0F9A-45A2-B2A5-D059A7FA166C}"/>
    <cellStyle name="Comma 10 10" xfId="238" xr:uid="{E5202B6C-2E7C-4897-A25A-3EA80DCC0926}"/>
    <cellStyle name="Comma 10 11" xfId="252" xr:uid="{D7AD31DF-E86D-4306-AD2A-8B80D1A9E501}"/>
    <cellStyle name="Comma 10 12" xfId="265" xr:uid="{0FDEEA68-AF68-4A0A-BB17-BD7E00C65493}"/>
    <cellStyle name="Comma 10 13" xfId="278" xr:uid="{3917E4BA-C34D-4D06-981D-51123C8852AB}"/>
    <cellStyle name="Comma 10 14" xfId="292" xr:uid="{A81A8463-BA07-42FD-91E6-EC467A151106}"/>
    <cellStyle name="Comma 10 15" xfId="343" xr:uid="{9F74F2BE-4D55-4D78-832B-B31C1D6D708A}"/>
    <cellStyle name="Comma 10 16" xfId="359" xr:uid="{8D741B7E-7E84-4499-B98B-D30DC18AC13F}"/>
    <cellStyle name="Comma 10 17" xfId="387" xr:uid="{8A28291B-C841-4FEF-AE60-4355690915E3}"/>
    <cellStyle name="Comma 10 18" xfId="400" xr:uid="{AF5DE80D-DA8B-4A10-A5DE-6F39F5B2FCCA}"/>
    <cellStyle name="Comma 10 19" xfId="357" xr:uid="{C6537ED0-5028-4F35-9A27-0442D217F85E}"/>
    <cellStyle name="Comma 10 2" xfId="56" xr:uid="{45D5F19D-43F0-497F-BCBE-DFA2119B0974}"/>
    <cellStyle name="Comma 10 20" xfId="381" xr:uid="{2F2782D0-3AA5-4146-A28C-7642B1B9F836}"/>
    <cellStyle name="Comma 10 21" xfId="437" xr:uid="{19BC848B-7D42-4190-9C4E-0579D975F5A7}"/>
    <cellStyle name="Comma 10 22" xfId="441" xr:uid="{1780505F-8B9D-4B83-87B2-04E886BE9B4E}"/>
    <cellStyle name="Comma 10 23" xfId="84" xr:uid="{7CA60483-CF66-4A4F-B7C1-1270F97CAB58}"/>
    <cellStyle name="Comma 10 24" xfId="71" xr:uid="{19A9C862-E6B2-4B3B-8418-8D64F23870BA}"/>
    <cellStyle name="Comma 10 3" xfId="134" xr:uid="{C5872042-CE85-4043-9096-EC212F6651E8}"/>
    <cellStyle name="Comma 10 4" xfId="152" xr:uid="{457F7CCD-AC88-4A59-9A3A-D86CFEC495C5}"/>
    <cellStyle name="Comma 10 5" xfId="167" xr:uid="{38C94ED2-764C-4BC6-A9A2-49FC749BFC67}"/>
    <cellStyle name="Comma 10 6" xfId="182" xr:uid="{B2FA6BF8-CB62-46CD-8418-054CE9E3BCA8}"/>
    <cellStyle name="Comma 10 7" xfId="196" xr:uid="{AEAEDFC2-35B3-4817-8300-988DB311D96D}"/>
    <cellStyle name="Comma 10 8" xfId="210" xr:uid="{C766196F-60EA-4568-B671-AB545AB6667C}"/>
    <cellStyle name="Comma 10 9" xfId="224" xr:uid="{D34790BE-02A0-4DE8-82A9-5D8E2C42529B}"/>
    <cellStyle name="Comma 11" xfId="25" xr:uid="{3FDC5AA3-FCEC-4291-9A3E-0916748EFD43}"/>
    <cellStyle name="Comma 11 2" xfId="465" xr:uid="{D3BD99AC-C03B-458C-8161-D1144F893B56}"/>
    <cellStyle name="Comma 11 3" xfId="466" xr:uid="{FE1353A5-BBE1-40ED-8DAE-C45E33F3B9CD}"/>
    <cellStyle name="Comma 11 4" xfId="103" xr:uid="{5B5896BE-9641-4A04-90D3-668A81CEFA7D}"/>
    <cellStyle name="Comma 12" xfId="101" xr:uid="{F7B01B5E-4415-4B42-A44F-7662739372F3}"/>
    <cellStyle name="Comma 12 2" xfId="132" xr:uid="{81CB753C-DE14-4FD3-893B-8BAB1545B919}"/>
    <cellStyle name="Comma 12 3" xfId="313" xr:uid="{97F31B8D-0E96-4D24-AC7B-8C95D76EADCD}"/>
    <cellStyle name="Comma 13" xfId="553" xr:uid="{D806BE9A-6FAA-44EC-84C5-C997D5857F25}"/>
    <cellStyle name="Comma 14" xfId="9" xr:uid="{73983364-177F-42B1-A7DF-C5B6E2828A9E}"/>
    <cellStyle name="Comma 2" xfId="11" xr:uid="{38F42AF6-C823-47B6-AFEF-48747169159C}"/>
    <cellStyle name="Comma 2 10" xfId="355" xr:uid="{63E721A5-CE3F-4570-AC63-B2947C6E250C}"/>
    <cellStyle name="Comma 2 11" xfId="373" xr:uid="{482CE9AE-399D-438A-8377-0D2903E89DEB}"/>
    <cellStyle name="Comma 2 12" xfId="392" xr:uid="{BB93083D-D825-411B-AE8E-96D047121BB0}"/>
    <cellStyle name="Comma 2 13" xfId="391" xr:uid="{9A824D8F-F127-4C73-98BC-6E13F5808F9B}"/>
    <cellStyle name="Comma 2 14" xfId="428" xr:uid="{34A56F87-80B9-40E0-9672-DE4EC6A6AEF3}"/>
    <cellStyle name="Comma 2 15" xfId="435" xr:uid="{F6BDD648-5ED8-453D-819D-40B8E4AC0ADF}"/>
    <cellStyle name="Comma 2 16" xfId="431" xr:uid="{DD21F957-0388-4CC3-8248-B5DF008F990B}"/>
    <cellStyle name="Comma 2 17" xfId="453" xr:uid="{907DEF09-8ACE-47AC-8ADE-D9E45FA72C3A}"/>
    <cellStyle name="Comma 2 18" xfId="104" xr:uid="{35515DC1-7152-4F33-A814-AB408B35ABBC}"/>
    <cellStyle name="Comma 2 19" xfId="72" xr:uid="{7FECABC1-695F-4A83-875D-175B95F19E74}"/>
    <cellStyle name="Comma 2 2" xfId="57" xr:uid="{A13DC9C4-F302-474D-8C49-FE7FAD4E471C}"/>
    <cellStyle name="Comma 2 2 10" xfId="334" xr:uid="{EB6C70FA-00BC-41D9-A778-0405B758366A}"/>
    <cellStyle name="Comma 2 2 11" xfId="341" xr:uid="{C8A15B02-CAB2-4522-A6E3-E80D581EDEA1}"/>
    <cellStyle name="Comma 2 2 12" xfId="342" xr:uid="{3EAB26A2-907B-411B-B4E0-9E14442449C1}"/>
    <cellStyle name="Comma 2 2 13" xfId="358" xr:uid="{D549A363-756A-4021-9E8B-E6EAFE0EAE3A}"/>
    <cellStyle name="Comma 2 2 14" xfId="395" xr:uid="{89CFA993-A3E9-4BD8-9613-B6C96CC861D4}"/>
    <cellStyle name="Comma 2 2 15" xfId="375" xr:uid="{67EA8645-6920-45FE-88BD-3272888A37A6}"/>
    <cellStyle name="Comma 2 2 16" xfId="410" xr:uid="{506A1C25-C8D7-40FB-BF9F-46128D0A5E88}"/>
    <cellStyle name="Comma 2 2 17" xfId="438" xr:uid="{3CBF707D-2864-4EA7-B99F-13D5FDA71B72}"/>
    <cellStyle name="Comma 2 2 18" xfId="388" xr:uid="{6306B398-F7C5-4F56-A32A-F8F3CE8757D2}"/>
    <cellStyle name="Comma 2 2 19" xfId="440" xr:uid="{76C7CBA6-D3D2-4736-9FDF-13D6911AD57D}"/>
    <cellStyle name="Comma 2 2 2" xfId="126" xr:uid="{2FD8599B-86F7-44BD-8AEB-9672CB6CF9CC}"/>
    <cellStyle name="Comma 2 2 3" xfId="293" xr:uid="{65F0022C-E714-456B-895B-A6D3DC595145}"/>
    <cellStyle name="Comma 2 2 4" xfId="316" xr:uid="{8D52B969-37CA-457B-806D-0745337DA21F}"/>
    <cellStyle name="Comma 2 2 5" xfId="319" xr:uid="{5F151879-1787-4D07-BE06-102B0939C497}"/>
    <cellStyle name="Comma 2 2 6" xfId="322" xr:uid="{05F0866F-E617-49CD-8D94-021534C57B19}"/>
    <cellStyle name="Comma 2 2 7" xfId="325" xr:uid="{065F5EFF-57D3-4ED5-A14B-FCCDB350985E}"/>
    <cellStyle name="Comma 2 2 8" xfId="328" xr:uid="{86B6E353-E3E3-4E67-B4B2-D55360F4A23A}"/>
    <cellStyle name="Comma 2 2 9" xfId="331" xr:uid="{6DD334F8-4E4C-44E2-A8ED-155B7BFEAA4E}"/>
    <cellStyle name="Comma 2 3" xfId="95" xr:uid="{69843C97-E98F-4354-9D96-A45C4D553EC2}"/>
    <cellStyle name="Comma 2 3 2" xfId="128" xr:uid="{23435E64-F412-4000-83D0-FA6922A58601}"/>
    <cellStyle name="Comma 2 3 3" xfId="308" xr:uid="{8FE6DA13-7704-49CD-8083-33730407E637}"/>
    <cellStyle name="Comma 2 4" xfId="96" xr:uid="{22AD0838-10F6-47E8-925D-891A518A4004}"/>
    <cellStyle name="Comma 2 4 2" xfId="129" xr:uid="{7A686EB3-1EDA-4466-BAC2-7703DCC8D45B}"/>
    <cellStyle name="Comma 2 4 3" xfId="309" xr:uid="{FDC3936F-F0BB-45F3-9055-CAC21613E99B}"/>
    <cellStyle name="Comma 2 5" xfId="98" xr:uid="{645B56C7-9D2C-4D5F-8790-C4971DFECBA0}"/>
    <cellStyle name="Comma 2 5 2" xfId="130" xr:uid="{E5A7FF33-C17C-4C8C-9F63-7CC049A5C8F5}"/>
    <cellStyle name="Comma 2 5 3" xfId="311" xr:uid="{4FF13DA6-D418-4B0F-AF91-B976C72B4435}"/>
    <cellStyle name="Comma 2 6" xfId="99" xr:uid="{93CB4DEA-04C9-4B66-86D5-B34329BAC63B}"/>
    <cellStyle name="Comma 2 6 2" xfId="131" xr:uid="{1A158146-44BC-4195-A6FC-E2B71770951A}"/>
    <cellStyle name="Comma 2 6 3" xfId="312" xr:uid="{D246EC4B-4E08-4FDC-8AEE-24A280D1BFF0}"/>
    <cellStyle name="Comma 2 7" xfId="102" xr:uid="{7653B3BA-DFE7-4F38-B098-0ECF85A09232}"/>
    <cellStyle name="Comma 2 7 2" xfId="133" xr:uid="{36BCB606-10D6-421F-A0B9-78C2B3B9B173}"/>
    <cellStyle name="Comma 2 7 3" xfId="314" xr:uid="{23EDD124-3814-4FCD-B088-D5619776F313}"/>
    <cellStyle name="Comma 2 8" xfId="337" xr:uid="{F5DA8928-4183-4B18-A6A7-530F50BDB63E}"/>
    <cellStyle name="Comma 2 9" xfId="338" xr:uid="{9B8ABBD1-4E7F-46CF-9EEC-0C60D2511D29}"/>
    <cellStyle name="Comma 3" xfId="12" xr:uid="{14A0678B-0D1D-49BE-968C-25DD7B12DED7}"/>
    <cellStyle name="Comma 3 10" xfId="236" xr:uid="{6937DF0D-A507-41B1-9E03-36E4EF1C50B9}"/>
    <cellStyle name="Comma 3 11" xfId="250" xr:uid="{DB6D6941-9406-4803-854F-D7F80AACCE07}"/>
    <cellStyle name="Comma 3 12" xfId="263" xr:uid="{53DD163F-DB58-46BF-BA3D-09D6711654CD}"/>
    <cellStyle name="Comma 3 13" xfId="279" xr:uid="{9DB715D7-0B6F-4417-BB04-9D9216446570}"/>
    <cellStyle name="Comma 3 14" xfId="294" xr:uid="{D6A4C916-44EB-4549-9D73-262DD52B1AB8}"/>
    <cellStyle name="Comma 3 15" xfId="344" xr:uid="{49B6F2F7-8F00-467F-A5A6-105A3C3DC4B8}"/>
    <cellStyle name="Comma 3 16" xfId="360" xr:uid="{7A3A3B0E-5553-44B9-A580-8073D73E2AC3}"/>
    <cellStyle name="Comma 3 17" xfId="383" xr:uid="{96C37179-B544-4755-AA10-8DD09559FBF5}"/>
    <cellStyle name="Comma 3 18" xfId="386" xr:uid="{CB0B5C15-E459-4824-8DC9-63A320AC8D95}"/>
    <cellStyle name="Comma 3 19" xfId="401" xr:uid="{95C507BC-83EA-4A90-B316-DF29124CA43C}"/>
    <cellStyle name="Comma 3 2" xfId="58" xr:uid="{04DD4B9A-D924-47A8-B747-99703E5E25D4}"/>
    <cellStyle name="Comma 3 20" xfId="412" xr:uid="{AA5FF644-9C33-4FD8-81BD-61CD3018ED0C}"/>
    <cellStyle name="Comma 3 21" xfId="433" xr:uid="{564FA7A2-4E23-40A1-AD35-C26864F3CBF3}"/>
    <cellStyle name="Comma 3 22" xfId="442" xr:uid="{C8D2718C-C6A0-4FC7-9E7B-6E9B4C51B15A}"/>
    <cellStyle name="Comma 3 23" xfId="85" xr:uid="{C19360EF-1012-4142-9B4B-B39CBDDDBBD4}"/>
    <cellStyle name="Comma 3 24" xfId="73" xr:uid="{7CE4E65D-5C0A-4DC9-888D-BC417CCCDE4B}"/>
    <cellStyle name="Comma 3 3" xfId="135" xr:uid="{C9F810B9-DA45-4E19-9693-7390DF4FE680}"/>
    <cellStyle name="Comma 3 4" xfId="153" xr:uid="{0F17CCD1-C7F6-4A82-8966-73C7319B31BB}"/>
    <cellStyle name="Comma 3 5" xfId="165" xr:uid="{D250A0F5-3C99-4D75-9353-A2BEAFD12BD1}"/>
    <cellStyle name="Comma 3 6" xfId="180" xr:uid="{1EEF32A0-4532-4B40-A3C3-10E4AFD8276D}"/>
    <cellStyle name="Comma 3 7" xfId="194" xr:uid="{2AE27DA0-7661-4F58-AB2A-834E08E3A910}"/>
    <cellStyle name="Comma 3 8" xfId="208" xr:uid="{90FCBAD7-E5BF-4694-8C21-189733AF3027}"/>
    <cellStyle name="Comma 3 9" xfId="222" xr:uid="{911FEAAA-04AA-461F-AB4D-C982196578EC}"/>
    <cellStyle name="Comma 4" xfId="16" xr:uid="{67433DF5-087C-4936-902F-95C940CEE791}"/>
    <cellStyle name="Comma 4 10" xfId="185" xr:uid="{C425E3CE-63C8-4DEC-84D4-59524CE8DD21}"/>
    <cellStyle name="Comma 4 11" xfId="199" xr:uid="{D7D12854-1287-42A1-926A-214178400064}"/>
    <cellStyle name="Comma 4 12" xfId="213" xr:uid="{557CBDA9-5745-47AD-92A2-442C24F22A93}"/>
    <cellStyle name="Comma 4 13" xfId="281" xr:uid="{C13A61B8-CF22-41CD-9AF5-ACBD2ABF3ED2}"/>
    <cellStyle name="Comma 4 14" xfId="298" xr:uid="{A833BBCB-6B47-4CE5-92AB-0A8A8792FD43}"/>
    <cellStyle name="Comma 4 15" xfId="348" xr:uid="{D03FD767-67B1-4760-AF45-1EA09EF20C56}"/>
    <cellStyle name="Comma 4 16" xfId="364" xr:uid="{9E1F598A-8F18-4E03-A72A-462D1852B89B}"/>
    <cellStyle name="Comma 4 17" xfId="415" xr:uid="{1E2C1B2A-9026-4A04-BFE4-0FCA39AA0730}"/>
    <cellStyle name="Comma 4 18" xfId="371" xr:uid="{83B09C3C-0996-4627-AF4A-3536A6FC7DD2}"/>
    <cellStyle name="Comma 4 19" xfId="405" xr:uid="{C2D17759-23CC-419D-B88F-5E24C9E3B531}"/>
    <cellStyle name="Comma 4 2" xfId="61" xr:uid="{9482F24C-4A36-4394-8D93-7AA6734D870C}"/>
    <cellStyle name="Comma 4 20" xfId="380" xr:uid="{ED2ECD3D-F699-4576-B5CC-EFDF68D47B18}"/>
    <cellStyle name="Comma 4 21" xfId="356" xr:uid="{F8413BAA-75DF-4A2C-91B9-5037CE74EF81}"/>
    <cellStyle name="Comma 4 22" xfId="446" xr:uid="{B706E9B3-A894-44FD-ABC7-24528DF3F946}"/>
    <cellStyle name="Comma 4 23" xfId="87" xr:uid="{FE8D162B-2B25-4984-B1D5-D809F07055B8}"/>
    <cellStyle name="Comma 4 24" xfId="76" xr:uid="{A728AEC2-A220-4DEC-8806-057D7CE2377C}"/>
    <cellStyle name="Comma 4 3" xfId="137" xr:uid="{744B347B-890F-45C0-84E5-1AD3ABB8178F}"/>
    <cellStyle name="Comma 4 4" xfId="157" xr:uid="{0E09CCE0-87B3-4BAF-A40B-7949911ACD94}"/>
    <cellStyle name="Comma 4 5" xfId="147" xr:uid="{D86CC7B0-1661-44D7-8132-713D164280B0}"/>
    <cellStyle name="Comma 4 6" xfId="149" xr:uid="{503065A1-0E3A-4DFB-995F-E3E6875DF769}"/>
    <cellStyle name="Comma 4 7" xfId="148" xr:uid="{A57C63A3-93D1-4B44-BA08-8777CE5AD766}"/>
    <cellStyle name="Comma 4 8" xfId="156" xr:uid="{1DA3B026-4AF3-4194-A32B-E7A10C7745DD}"/>
    <cellStyle name="Comma 4 9" xfId="170" xr:uid="{AAA26D6F-7EC8-40E7-9579-32A7E245DF38}"/>
    <cellStyle name="Comma 5" xfId="17" xr:uid="{01FE80DE-8685-4FD6-9CC2-3C563841D7ED}"/>
    <cellStyle name="Comma 5 10" xfId="244" xr:uid="{6C4EF93D-243B-4E54-B306-ADE5C574E0D7}"/>
    <cellStyle name="Comma 5 11" xfId="258" xr:uid="{FCE4822C-B2A1-47AF-8F06-EF3BA4A79FEB}"/>
    <cellStyle name="Comma 5 12" xfId="270" xr:uid="{8FF5B453-7685-44E2-B154-650593D2952B}"/>
    <cellStyle name="Comma 5 13" xfId="284" xr:uid="{6FBB8505-97E2-48D0-92E3-73F7C04D16AC}"/>
    <cellStyle name="Comma 5 14" xfId="301" xr:uid="{FD8DBFE4-13B0-461A-BA84-CC246308B43D}"/>
    <cellStyle name="Comma 5 15" xfId="351" xr:uid="{D715259A-F267-47FD-BB6F-7DFD32BC7AAB}"/>
    <cellStyle name="Comma 5 16" xfId="367" xr:uid="{DE468687-F665-41E0-BE0B-FD03AE2C03F3}"/>
    <cellStyle name="Comma 5 17" xfId="406" xr:uid="{66A8EAFF-766D-4FDA-AF47-9BB20FF57029}"/>
    <cellStyle name="Comma 5 18" xfId="394" xr:uid="{F28FA97C-2F86-4360-B956-5587670675E8}"/>
    <cellStyle name="Comma 5 19" xfId="374" xr:uid="{C8E3084C-C863-4455-A73D-5384250D33B7}"/>
    <cellStyle name="Comma 5 2" xfId="64" xr:uid="{9FEE4A79-E372-4AD8-B8DA-B475C9B96D53}"/>
    <cellStyle name="Comma 5 20" xfId="402" xr:uid="{A93B0722-45F8-432D-983F-D4010A55AD8C}"/>
    <cellStyle name="Comma 5 21" xfId="413" xr:uid="{DBB5491A-EB03-4A29-AC21-B936C24D6687}"/>
    <cellStyle name="Comma 5 22" xfId="449" xr:uid="{42FB98FF-F25A-471F-94CC-C221F57CC814}"/>
    <cellStyle name="Comma 5 23" xfId="90" xr:uid="{ABE7F5C1-C805-4CF3-89C3-C052C28934DE}"/>
    <cellStyle name="Comma 5 24" xfId="79" xr:uid="{CEB34A9E-555D-471B-A6EC-D7786354AEE3}"/>
    <cellStyle name="Comma 5 3" xfId="140" xr:uid="{CC7BE436-3149-4A9E-8FED-D6EA04ACAC31}"/>
    <cellStyle name="Comma 5 4" xfId="160" xr:uid="{EA682C60-E098-461B-BE96-AC94FD25B5D6}"/>
    <cellStyle name="Comma 5 5" xfId="174" xr:uid="{19E717A5-525E-4FBB-AA41-7DDBFE350198}"/>
    <cellStyle name="Comma 5 6" xfId="189" xr:uid="{A9FE60DB-8669-43CB-994B-A6845A72AB28}"/>
    <cellStyle name="Comma 5 7" xfId="203" xr:uid="{EE32C4C2-0995-48DF-83AB-FB895A253EE1}"/>
    <cellStyle name="Comma 5 8" xfId="217" xr:uid="{87816A11-E519-4FD2-84E8-16F330216116}"/>
    <cellStyle name="Comma 5 9" xfId="230" xr:uid="{A4735344-56F4-4BA1-A9A6-F4B845BF37B4}"/>
    <cellStyle name="Comma 6" xfId="18" xr:uid="{5A005C91-820D-4B66-AA62-4E6212BD662B}"/>
    <cellStyle name="Comma 6 10" xfId="247" xr:uid="{4B47D093-D9D7-47A2-A1C3-24641D8623AF}"/>
    <cellStyle name="Comma 6 11" xfId="261" xr:uid="{8BDA9B4D-E81E-422A-A560-3415A7377FC8}"/>
    <cellStyle name="Comma 6 12" xfId="273" xr:uid="{E4E3A522-3A7B-490D-8674-93A7974369B4}"/>
    <cellStyle name="Comma 6 13" xfId="287" xr:uid="{2AAF4956-5349-4DE9-8D2C-7DDB0278F6B5}"/>
    <cellStyle name="Comma 6 14" xfId="304" xr:uid="{1A0A9166-380F-4693-89A4-4674325DFA6A}"/>
    <cellStyle name="Comma 6 15" xfId="354" xr:uid="{A18B8149-9679-4238-A688-D1E934F79927}"/>
    <cellStyle name="Comma 6 16" xfId="370" xr:uid="{2C2F90F4-CA67-42E4-9607-6D99422BF7B6}"/>
    <cellStyle name="Comma 6 17" xfId="393" xr:uid="{98E6D069-C170-4E7F-96A1-6D8642A1BADD}"/>
    <cellStyle name="Comma 6 18" xfId="377" xr:uid="{291D7E87-0353-42CF-9B2F-B5CCB1B0C24E}"/>
    <cellStyle name="Comma 6 19" xfId="399" xr:uid="{8DC82A5B-50B4-4DE1-B86D-9A2ADDA1A7B2}"/>
    <cellStyle name="Comma 6 2" xfId="67" xr:uid="{172BE6FD-05B0-4379-BBC5-C4AAFE281557}"/>
    <cellStyle name="Comma 6 20" xfId="436" xr:uid="{BB02A82A-E4D3-4AC6-B271-6B97D3B2E463}"/>
    <cellStyle name="Comma 6 21" xfId="423" xr:uid="{240A211E-9063-4769-AF9D-2750ED9A7524}"/>
    <cellStyle name="Comma 6 22" xfId="452" xr:uid="{03F51D80-42CC-49C9-B2C1-1EE6C3D41B2D}"/>
    <cellStyle name="Comma 6 23" xfId="93" xr:uid="{236278A5-1889-44E6-9630-379606A43536}"/>
    <cellStyle name="Comma 6 24" xfId="82" xr:uid="{455445CF-D3B6-42DE-97EF-BA2CE2174C2F}"/>
    <cellStyle name="Comma 6 3" xfId="143" xr:uid="{FBC89226-09F8-437D-BEC8-256F2A2322A3}"/>
    <cellStyle name="Comma 6 4" xfId="163" xr:uid="{F7C02C19-F2E1-42ED-BC99-922F4D95FC8B}"/>
    <cellStyle name="Comma 6 5" xfId="177" xr:uid="{A2A3C037-7DC3-4888-B0F9-909F2B0BA3BF}"/>
    <cellStyle name="Comma 6 6" xfId="192" xr:uid="{04F81CB9-2161-461F-B510-1E51AD8EAB9F}"/>
    <cellStyle name="Comma 6 7" xfId="206" xr:uid="{6DF2A22A-BEC8-4CEE-883E-03E53C1EB1E7}"/>
    <cellStyle name="Comma 6 8" xfId="220" xr:uid="{26A02C8F-6265-4DE9-9B1C-3FE9A69DC50B}"/>
    <cellStyle name="Comma 6 9" xfId="233" xr:uid="{CA4F36AE-D840-4F33-BDDC-ABD7C1DDEAD2}"/>
    <cellStyle name="Comma 7" xfId="26" xr:uid="{D54E485F-3935-4882-87FC-C4D008E06379}"/>
    <cellStyle name="Comma 7 10" xfId="248" xr:uid="{0C1BAF86-E068-4088-975F-888C2A34FF9A}"/>
    <cellStyle name="Comma 7 11" xfId="262" xr:uid="{6B65645D-764A-435E-8375-17928EA94BAB}"/>
    <cellStyle name="Comma 7 12" xfId="274" xr:uid="{B941CE87-4531-41ED-BD3D-42FA06B84282}"/>
    <cellStyle name="Comma 7 13" xfId="288" xr:uid="{9A1FC2FC-D2D8-4B85-8522-FAD424E6A69D}"/>
    <cellStyle name="Comma 7 14" xfId="307" xr:uid="{9F3EF984-82B7-4CAF-82A4-43E97C31FE1C}"/>
    <cellStyle name="Comma 7 15" xfId="467" xr:uid="{40647925-EB61-4F54-9318-854188519D06}"/>
    <cellStyle name="Comma 7 16" xfId="94" xr:uid="{57E4A464-3B4A-4BE4-A34C-256095F63321}"/>
    <cellStyle name="Comma 7 2" xfId="105" xr:uid="{C59F3A6E-D587-404A-83FF-6302E2FD68C3}"/>
    <cellStyle name="Comma 7 3" xfId="144" xr:uid="{CEF05771-F177-4EFF-A849-A0C32D87D3DA}"/>
    <cellStyle name="Comma 7 4" xfId="164" xr:uid="{36AC3C2A-C7B3-46AF-99A7-E7B1BC2623B4}"/>
    <cellStyle name="Comma 7 5" xfId="178" xr:uid="{5CEB20FC-EAF0-4A75-8A40-6A19D1B00125}"/>
    <cellStyle name="Comma 7 6" xfId="193" xr:uid="{E680E58D-E579-4B62-B6B4-3ECD3962E430}"/>
    <cellStyle name="Comma 7 7" xfId="207" xr:uid="{27085A4D-0FD1-4D90-AD41-9A8603A54CA5}"/>
    <cellStyle name="Comma 7 8" xfId="221" xr:uid="{84277882-BAF5-417B-ACB8-32AA88AD0B0E}"/>
    <cellStyle name="Comma 7 9" xfId="234" xr:uid="{6559FCE7-8EF9-4DE1-92EE-0EC9060AD8C2}"/>
    <cellStyle name="Comma 8" xfId="27" xr:uid="{94C69453-2E31-4966-9C00-AD62D59860C0}"/>
    <cellStyle name="Comma 8 2" xfId="468" xr:uid="{3F223B25-B0ED-42C7-ABA1-6118BCD7DE48}"/>
    <cellStyle name="Comma 8 3" xfId="469" xr:uid="{549578CF-3184-4B31-8EAA-B454667A09A8}"/>
    <cellStyle name="Comma 8 4" xfId="106" xr:uid="{2399E5AC-C31C-46CE-89DE-05A16316A020}"/>
    <cellStyle name="Comma 9" xfId="28" xr:uid="{01EAFA08-E149-43AF-B342-DC385ABC7020}"/>
    <cellStyle name="Comma 9 2" xfId="470" xr:uid="{36F0A04D-0A20-4BC5-95A9-59441DCBC000}"/>
    <cellStyle name="Comma 9 3" xfId="471" xr:uid="{BFD52083-ACA3-40B2-9090-3A8B36323358}"/>
    <cellStyle name="Comma 9 4" xfId="107" xr:uid="{802CD6CD-8642-43EF-9121-D5EBDD0D270F}"/>
    <cellStyle name="Currency" xfId="1" builtinId="4"/>
    <cellStyle name="Currency (_)" xfId="458" xr:uid="{4AA5EB19-A04E-41B7-8ABF-116930E7C3BB}"/>
    <cellStyle name="Currency (0)" xfId="459" xr:uid="{5F45C0E0-C211-4D39-83A0-47B912E2A4E8}"/>
    <cellStyle name="Currency (0.00)" xfId="460" xr:uid="{99376EFB-3A58-44DD-919B-DC52F927DC40}"/>
    <cellStyle name="Currency 10" xfId="29" xr:uid="{55AB61E4-D1DD-47F7-B1BA-A84E2707CA14}"/>
    <cellStyle name="Currency 10 2" xfId="472" xr:uid="{211F043E-E66D-4839-87C0-C7055684DCFE}"/>
    <cellStyle name="Currency 10 3" xfId="473" xr:uid="{A346734E-2DA0-4519-8573-215E8816E6EA}"/>
    <cellStyle name="Currency 10 4" xfId="108" xr:uid="{CD0E240F-9FD8-4EDA-82F8-E37F92C2599D}"/>
    <cellStyle name="Currency 11" xfId="30" xr:uid="{EBB65207-1CBC-4804-ABA3-8F7977DBD99A}"/>
    <cellStyle name="Currency 11 2" xfId="474" xr:uid="{6C12385B-7E33-4177-A008-6CC34589E37A}"/>
    <cellStyle name="Currency 11 3" xfId="475" xr:uid="{0A218F5D-5465-4C27-89B2-5F0A3675A8A1}"/>
    <cellStyle name="Currency 11 4" xfId="109" xr:uid="{9CE7B698-04EE-4442-A0F1-B8DE900A6AC3}"/>
    <cellStyle name="Currency 16" xfId="3" xr:uid="{00000000-0005-0000-0000-000002000000}"/>
    <cellStyle name="Currency 2" xfId="24" xr:uid="{EFF88B2A-B3BD-4B39-8B10-4B185D10F7A8}"/>
    <cellStyle name="Currency 2 2" xfId="69" xr:uid="{CA759A75-AA86-4A68-BE7D-F3FF0016DF6C}"/>
    <cellStyle name="Currency 2 3" xfId="476" xr:uid="{0940EB76-8BBC-4286-9946-93EFB4783058}"/>
    <cellStyle name="Currency 3" xfId="31" xr:uid="{F9D2B2FF-21E6-4B7D-8103-DF2CD8DFC1F8}"/>
    <cellStyle name="Currency 3 2" xfId="68" xr:uid="{36A8606A-1A45-47CA-97F5-B515CA2594E1}"/>
    <cellStyle name="Currency 3 3" xfId="477" xr:uid="{E82B8E46-AAA5-4D14-8E07-2DEF807C3AA5}"/>
    <cellStyle name="Currency 4" xfId="32" xr:uid="{A4553896-3E4C-4FAC-A91E-67F94DEEFE61}"/>
    <cellStyle name="Currency 4 2" xfId="478" xr:uid="{E35BB196-1A21-4885-BB32-A8536F39ADF0}"/>
    <cellStyle name="Currency 4 3" xfId="479" xr:uid="{B852C4D0-1A9D-4A35-BF89-9411E10746AC}"/>
    <cellStyle name="Currency 4 4" xfId="110" xr:uid="{4A579A61-7D07-427F-B889-86BE01AAFAE6}"/>
    <cellStyle name="Currency 5" xfId="33" xr:uid="{906A0471-191A-4762-BCF0-2F7CF2921BCC}"/>
    <cellStyle name="Currency 5 2" xfId="480" xr:uid="{8C83F74A-DC5E-4B76-9854-1576C17F5F5C}"/>
    <cellStyle name="Currency 5 3" xfId="481" xr:uid="{E9816BE6-DF6C-416B-B04F-538475642D8B}"/>
    <cellStyle name="Currency 5 4" xfId="111" xr:uid="{CC92DDAE-7B60-41CC-B498-E530B2E17507}"/>
    <cellStyle name="Currency 6" xfId="34" xr:uid="{0A432D3B-FEA0-4289-98B7-F7B56B00AEA5}"/>
    <cellStyle name="Currency 6 2" xfId="482" xr:uid="{1DE77A0C-F6BB-468E-AC59-18BCD5A29D9D}"/>
    <cellStyle name="Currency 6 3" xfId="483" xr:uid="{50E5F87C-355D-4C03-9753-D5D04000925A}"/>
    <cellStyle name="Currency 6 4" xfId="112" xr:uid="{4881C7B7-2980-43F9-B99C-F99BF6792872}"/>
    <cellStyle name="Currency 7" xfId="35" xr:uid="{88C659B0-E05B-45B1-9E0B-4083AF94C5D6}"/>
    <cellStyle name="Currency 7 2" xfId="484" xr:uid="{622A0B76-A688-4371-80B5-6AB56DC696EC}"/>
    <cellStyle name="Currency 7 3" xfId="485" xr:uid="{02F90A94-6755-4EFA-B6EE-AA4A1DDB72E4}"/>
    <cellStyle name="Currency 7 4" xfId="113" xr:uid="{2B63CEA4-22F8-43A1-9790-F7BC0422D655}"/>
    <cellStyle name="Currency 8" xfId="36" xr:uid="{CEE7D560-8F3B-409B-8426-FAB74DC6E41D}"/>
    <cellStyle name="Currency 8 2" xfId="486" xr:uid="{93CA3B2B-956C-48C8-8556-6E148FEF9973}"/>
    <cellStyle name="Currency 8 3" xfId="487" xr:uid="{8D72F665-AAC5-4BA3-805C-6FCEB57D2C21}"/>
    <cellStyle name="Currency 8 4" xfId="114" xr:uid="{FDEC772C-17E4-4CEB-B702-DFC206FC3312}"/>
    <cellStyle name="Currency 9" xfId="37" xr:uid="{06E76A43-CD4B-4192-B1AE-A99423AFC4D9}"/>
    <cellStyle name="Currency 9 2" xfId="488" xr:uid="{58789E4F-D380-42D8-9A00-159E2EAE0FB0}"/>
    <cellStyle name="Currency 9 3" xfId="489" xr:uid="{2F546077-A3AC-4363-9D72-C9169F492C62}"/>
    <cellStyle name="Currency 9 4" xfId="115" xr:uid="{CB22524C-22FB-4510-8774-8F8180B0B376}"/>
    <cellStyle name="Dollar 00." xfId="534" xr:uid="{07EF2C82-08A7-48A6-8EDB-A88792D1C29E}"/>
    <cellStyle name="Explanatory Text 2" xfId="535" xr:uid="{D30F82E5-3E3F-4030-9AEF-07428B915A85}"/>
    <cellStyle name="General" xfId="461" xr:uid="{E581C144-4AAD-44E9-B151-763433C111BC}"/>
    <cellStyle name="General 2" xfId="536" xr:uid="{83153253-7FF3-4CD6-B7EF-5035E8E0B846}"/>
    <cellStyle name="Good 2" xfId="537" xr:uid="{4F458997-5EE7-4170-8BE1-8556A692E29D}"/>
    <cellStyle name="Heading 1 2" xfId="538" xr:uid="{CA9C6CBC-F99A-4B7C-99BA-3B5BF219E441}"/>
    <cellStyle name="Heading 2 2" xfId="539" xr:uid="{09877318-FBBD-490F-8003-92DB6A577CB5}"/>
    <cellStyle name="Heading 3 2" xfId="540" xr:uid="{29B17B4A-2903-45BB-834C-034EAD18C9AB}"/>
    <cellStyle name="Heading 4 2" xfId="541" xr:uid="{3B140B41-AE82-4E10-B215-48597FFEAEFF}"/>
    <cellStyle name="HUD" xfId="542" xr:uid="{4F278660-5D63-420F-A1D1-73BEAC26DDEC}"/>
    <cellStyle name="Hyperlink" xfId="6" builtinId="8"/>
    <cellStyle name="Hyperlink 10" xfId="13" xr:uid="{79F5E3BE-EE5A-4EC4-933F-6AE4529E2CFF}"/>
    <cellStyle name="Hyperlink 11" xfId="557" xr:uid="{E8BA69EE-4EE0-4D38-A358-842E55AE6244}"/>
    <cellStyle name="Hyperlink 2" xfId="38" xr:uid="{96097DC0-F8F4-401E-A353-9379FD7F5BC2}"/>
    <cellStyle name="Hyperlink 3" xfId="39" xr:uid="{5476A9C1-7821-4975-A448-AC5790493CEE}"/>
    <cellStyle name="Hyperlink 4" xfId="40" xr:uid="{C00D6FAF-9532-42A7-8FD0-D631D59C259D}"/>
    <cellStyle name="Hyperlink 5" xfId="41" xr:uid="{BE0018B9-97B1-4CB6-8BF4-7BFC36226E85}"/>
    <cellStyle name="Hyperlink 6" xfId="42" xr:uid="{3580CCF6-7CAC-41B2-905E-C8B17ED80DDB}"/>
    <cellStyle name="Hyperlink 7" xfId="43" xr:uid="{F8EA7C06-B04C-4CF6-97BF-1DF907DBE32E}"/>
    <cellStyle name="Hyperlink 8" xfId="44" xr:uid="{D8C8F057-7D27-4157-99FA-59092E181585}"/>
    <cellStyle name="Hyperlink 9" xfId="45" xr:uid="{2F2E5F09-3AC7-4AC2-8D99-8D0382EA61AF}"/>
    <cellStyle name="Input" xfId="558" builtinId="20"/>
    <cellStyle name="Input 2" xfId="543" xr:uid="{4B27286D-0F6F-4523-B466-1C6DEFDE702E}"/>
    <cellStyle name="Jack Number Format" xfId="7" xr:uid="{780D73A0-6E93-45AF-9F03-879BC42D2DB2}"/>
    <cellStyle name="Linked Cell" xfId="559" builtinId="24"/>
    <cellStyle name="Linked Cell 2" xfId="544" xr:uid="{1DFAB7F5-E19F-4AE2-BF73-F3E217CE42D4}"/>
    <cellStyle name="NACC" xfId="545" xr:uid="{F5CD5A6E-B6D0-4BA6-8BB6-C3044CE34AEE}"/>
    <cellStyle name="Neutral 2" xfId="546" xr:uid="{8DBE7637-3D54-4FF3-AA03-F31012D1E149}"/>
    <cellStyle name="Normal" xfId="0" builtinId="0"/>
    <cellStyle name="Normal 10" xfId="154" xr:uid="{19FB8C66-9255-4204-B6A5-280C1E250A7D}"/>
    <cellStyle name="Normal 11" xfId="291" xr:uid="{302C5515-43E1-486C-82DD-4C17EAC91795}"/>
    <cellStyle name="Normal 11 2" xfId="315" xr:uid="{F7E3E597-5A02-4C76-B6F0-6B396EBC3CBE}"/>
    <cellStyle name="Normal 12" xfId="179" xr:uid="{CCA2E4BE-B1AD-404E-9726-AF7E23055B7C}"/>
    <cellStyle name="Normal 13" xfId="454" xr:uid="{D1100715-FFDD-42D2-9752-68F742F7A12A}"/>
    <cellStyle name="Normal 14" xfId="552" xr:uid="{963B5FC3-A001-41A9-9DF0-E3EB2006E1CD}"/>
    <cellStyle name="Normal 15" xfId="8" xr:uid="{5DB9C284-0437-42B3-9678-258D010CA856}"/>
    <cellStyle name="Normal 16" xfId="235" xr:uid="{A0E705E8-CB24-49CB-83D5-441D6479583E}"/>
    <cellStyle name="Normal 17" xfId="249" xr:uid="{0D8D4B2F-3FEA-4121-B698-227B8247837C}"/>
    <cellStyle name="Normal 18" xfId="554" xr:uid="{3C136E25-0D2F-4456-8CCB-7175CE1FC9A5}"/>
    <cellStyle name="Normal 2" xfId="19" xr:uid="{FB0293EF-D921-44C3-B081-92C3931AD1DA}"/>
    <cellStyle name="Normal 2 10" xfId="241" xr:uid="{77AA74EE-912B-42EB-9433-54F28CE8C5E5}"/>
    <cellStyle name="Normal 2 11" xfId="255" xr:uid="{A9476CBD-0AB2-44AB-968E-E15FDE4315A3}"/>
    <cellStyle name="Normal 2 12" xfId="267" xr:uid="{C61E8216-7317-4FEA-9035-E762A79BA076}"/>
    <cellStyle name="Normal 2 13" xfId="277" xr:uid="{B7480079-C278-4400-80C9-089AC430CB59}"/>
    <cellStyle name="Normal 2 14" xfId="306" xr:uid="{0389135A-670A-4F7F-96A4-CA20E27E5A5E}"/>
    <cellStyle name="Normal 2 15" xfId="490" xr:uid="{52F1A4E8-FEC5-4209-88FA-E6BB49F826AD}"/>
    <cellStyle name="Normal 2 16" xfId="83" xr:uid="{980F49E8-1871-469B-8C9C-4BD3F89DDF3E}"/>
    <cellStyle name="Normal 2 17" xfId="75" xr:uid="{E7CFD7A2-6B5A-4379-B449-A1688BE41979}"/>
    <cellStyle name="Normal 2 2" xfId="60" xr:uid="{69F9E16F-079D-45A5-BCC8-7C0864C74652}"/>
    <cellStyle name="Normal 2 2 10" xfId="336" xr:uid="{59EC7199-01F7-4B57-BD08-155FD9F8A092}"/>
    <cellStyle name="Normal 2 2 11" xfId="339" xr:uid="{8A32C780-2FF7-40B6-80B2-D20C8F6C6DAC}"/>
    <cellStyle name="Normal 2 2 12" xfId="347" xr:uid="{6B23C610-4E67-4589-A2BC-693AB8C3437E}"/>
    <cellStyle name="Normal 2 2 13" xfId="363" xr:uid="{3E2BCD24-6534-4D02-8FA0-5710D96D09F3}"/>
    <cellStyle name="Normal 2 2 14" xfId="421" xr:uid="{723DAD76-BFB3-45AB-80F3-6336095511BC}"/>
    <cellStyle name="Normal 2 2 15" xfId="418" xr:uid="{F039F6F4-6D18-4E40-AFDC-D19299EEC431}"/>
    <cellStyle name="Normal 2 2 16" xfId="425" xr:uid="{0C6A8830-5B09-45D4-8E3B-8CF276041A99}"/>
    <cellStyle name="Normal 2 2 17" xfId="384" xr:uid="{31ED2C7F-9301-42FE-AA07-EAF84F098A47}"/>
    <cellStyle name="Normal 2 2 18" xfId="432" xr:uid="{190AB289-3C65-4B40-96B8-B9DA1B8A047A}"/>
    <cellStyle name="Normal 2 2 19" xfId="445" xr:uid="{2D9C9A83-EE63-4387-92C5-A59A469C3826}"/>
    <cellStyle name="Normal 2 2 2" xfId="125" xr:uid="{AB987DAA-ED5B-475D-B0E4-A3E5F7A1348F}"/>
    <cellStyle name="Normal 2 2 3" xfId="297" xr:uid="{CF64E5E5-F4DF-4B83-B2FD-8AEB0CF6B9A3}"/>
    <cellStyle name="Normal 2 2 4" xfId="318" xr:uid="{C037BB29-B2E0-42B3-B5A8-CB7458BBB3DF}"/>
    <cellStyle name="Normal 2 2 5" xfId="320" xr:uid="{20A462F4-349B-4949-B9EB-2453DD7EB8AD}"/>
    <cellStyle name="Normal 2 2 6" xfId="323" xr:uid="{0F6B291F-15B2-4009-9C93-74CB8BF396EB}"/>
    <cellStyle name="Normal 2 2 7" xfId="326" xr:uid="{7FC06AA4-77C2-4C9B-A9BA-4DE2180F8DF9}"/>
    <cellStyle name="Normal 2 2 8" xfId="329" xr:uid="{05CEC61E-F593-4C7B-84FD-34FB3ED447B6}"/>
    <cellStyle name="Normal 2 2 9" xfId="332" xr:uid="{09D019D0-7561-412F-8106-93CDA9E9439E}"/>
    <cellStyle name="Normal 2 3" xfId="116" xr:uid="{5A43F34D-9A9B-4D9F-8FA7-3BD1ADBDE2C6}"/>
    <cellStyle name="Normal 2 4" xfId="150" xr:uid="{57D6315E-2E5B-4F88-B11A-909D9C8AF1AB}"/>
    <cellStyle name="Normal 2 5" xfId="171" xr:uid="{105A4142-6C1E-4EA5-B153-8F35C7E7CD3E}"/>
    <cellStyle name="Normal 2 6" xfId="186" xr:uid="{3DA04F41-ECCA-42BC-BD3B-6CA5A9DFB743}"/>
    <cellStyle name="Normal 2 7" xfId="200" xr:uid="{2AB003AF-AB5C-451E-8732-D92ACF69FE53}"/>
    <cellStyle name="Normal 2 8" xfId="214" xr:uid="{D764ED4F-648B-47DB-B71A-912E483BE327}"/>
    <cellStyle name="Normal 2 9" xfId="227" xr:uid="{2C37C794-C211-4197-8ABD-D07670B4B979}"/>
    <cellStyle name="Normal 3" xfId="20" xr:uid="{1D6135B5-3208-4471-91B0-720A1DCBE530}"/>
    <cellStyle name="Normal 3 10" xfId="242" xr:uid="{9AE47CF5-55E4-41C8-A917-3F107A927EBC}"/>
    <cellStyle name="Normal 3 11" xfId="256" xr:uid="{6F1F4BBB-4E5F-4508-B8BE-6E45DFC7461A}"/>
    <cellStyle name="Normal 3 12" xfId="268" xr:uid="{D7E30CD7-48B2-4CA5-BEEF-1D115A7EA718}"/>
    <cellStyle name="Normal 3 13" xfId="282" xr:uid="{0C093B46-9CD3-40B4-9DAA-55175F20AF63}"/>
    <cellStyle name="Normal 3 14" xfId="299" xr:uid="{93D41516-4D8D-431F-9E28-E0D439E9FE8A}"/>
    <cellStyle name="Normal 3 15" xfId="349" xr:uid="{374B61FA-1A21-4A6A-8862-A29B76D6777B}"/>
    <cellStyle name="Normal 3 16" xfId="365" xr:uid="{09DDB6BD-38E8-4043-B5D1-8A88E1566E67}"/>
    <cellStyle name="Normal 3 17" xfId="411" xr:uid="{B4E28679-428D-42F3-9ADE-2F8AC8662CA8}"/>
    <cellStyle name="Normal 3 18" xfId="416" xr:uid="{AD3FFBD9-5EC2-450B-BDF3-B228BC415930}"/>
    <cellStyle name="Normal 3 19" xfId="414" xr:uid="{133DDDB0-10DA-45FF-9A44-BAD35FD4244C}"/>
    <cellStyle name="Normal 3 2" xfId="62" xr:uid="{6E28C033-FA81-4488-8E66-599B3F462B62}"/>
    <cellStyle name="Normal 3 20" xfId="419" xr:uid="{9A754681-0227-43CE-809B-145BA1B877B0}"/>
    <cellStyle name="Normal 3 21" xfId="390" xr:uid="{9AF05E0C-C3E8-4206-8849-E3D565642FCF}"/>
    <cellStyle name="Normal 3 22" xfId="447" xr:uid="{6FC0ADE9-306B-4503-9FE4-46DC7C9FDDB4}"/>
    <cellStyle name="Normal 3 23" xfId="88" xr:uid="{797ECE4E-EC9D-49E1-981E-3D42C0E2F904}"/>
    <cellStyle name="Normal 3 24" xfId="77" xr:uid="{FC1CA8CC-6E8A-4BA7-8430-0B3B0C4EFD5C}"/>
    <cellStyle name="Normal 3 3" xfId="138" xr:uid="{D8A115DD-681D-45FA-A6B6-94FA8867637E}"/>
    <cellStyle name="Normal 3 4" xfId="158" xr:uid="{E24BD618-01EE-41C0-AA1E-AAFC84821CD4}"/>
    <cellStyle name="Normal 3 5" xfId="172" xr:uid="{08CF1F54-D4D8-4D90-B630-AE8178FEE3C9}"/>
    <cellStyle name="Normal 3 6" xfId="187" xr:uid="{BE47FC75-EDAC-46B2-9ADC-7FFCB61799B3}"/>
    <cellStyle name="Normal 3 7" xfId="201" xr:uid="{A3582BC4-A516-45DA-A965-3B23464A7C99}"/>
    <cellStyle name="Normal 3 8" xfId="215" xr:uid="{01DB34D1-7CC4-47F1-B3C3-A6C79DAD1119}"/>
    <cellStyle name="Normal 3 9" xfId="228" xr:uid="{81CD601F-23EB-45D4-A199-DDCA72E95BDB}"/>
    <cellStyle name="Normal 4" xfId="21" xr:uid="{A4239A88-15C1-4285-AC6C-DDE77763FEDC}"/>
    <cellStyle name="Normal 4 10" xfId="246" xr:uid="{77D87103-663C-43FE-9906-21AA66AB4618}"/>
    <cellStyle name="Normal 4 11" xfId="260" xr:uid="{9C35192D-FDDF-4971-9C2F-0C1AFF2F82F4}"/>
    <cellStyle name="Normal 4 12" xfId="272" xr:uid="{983ECE10-F051-4A47-80A3-C5544024F989}"/>
    <cellStyle name="Normal 4 13" xfId="286" xr:uid="{320D8D1C-8C8F-4164-B7CD-76AD8F78148A}"/>
    <cellStyle name="Normal 4 14" xfId="303" xr:uid="{7BD798DC-CD86-40A3-901F-BD447877E8EB}"/>
    <cellStyle name="Normal 4 15" xfId="353" xr:uid="{211A4E7B-CD09-4A20-B77D-682C01D46FC7}"/>
    <cellStyle name="Normal 4 16" xfId="369" xr:uid="{189BF18D-8272-42F2-BC13-6441ACB3F71E}"/>
    <cellStyle name="Normal 4 17" xfId="397" xr:uid="{8BA291ED-1F7C-4827-B39D-DE30F805B87D}"/>
    <cellStyle name="Normal 4 18" xfId="408" xr:uid="{536046B8-70F0-42D8-AC14-ACA1FF233D90}"/>
    <cellStyle name="Normal 4 19" xfId="407" xr:uid="{B6D900FA-E043-4545-AF59-712215C3EEB3}"/>
    <cellStyle name="Normal 4 2" xfId="66" xr:uid="{11C5DC6B-5983-46FE-8A0C-7B205D3D7D8F}"/>
    <cellStyle name="Normal 4 20" xfId="422" xr:uid="{276F8A1C-7C21-4829-AC0C-6715887D0570}"/>
    <cellStyle name="Normal 4 21" xfId="430" xr:uid="{0B84C6CB-B874-4433-B184-ED53AF7149B0}"/>
    <cellStyle name="Normal 4 22" xfId="451" xr:uid="{CC2713B7-F14F-4FE5-ABE1-6D714C167F74}"/>
    <cellStyle name="Normal 4 23" xfId="92" xr:uid="{EE0C9958-591D-4AB9-8EF9-176A6B6D8E3E}"/>
    <cellStyle name="Normal 4 24" xfId="81" xr:uid="{96453857-193B-4409-AEF3-5862260D9A2D}"/>
    <cellStyle name="Normal 4 3" xfId="142" xr:uid="{56234247-B6CD-43E3-B2F4-CEC3EEA117E4}"/>
    <cellStyle name="Normal 4 4" xfId="162" xr:uid="{A2FD90C4-49B7-461D-B85B-A752F0CADE98}"/>
    <cellStyle name="Normal 4 5" xfId="176" xr:uid="{FF1F8991-CDF4-4479-8072-A27BC96CD518}"/>
    <cellStyle name="Normal 4 6" xfId="191" xr:uid="{CB7195CA-89BD-48CF-8BFE-6E9F787EF3B0}"/>
    <cellStyle name="Normal 4 7" xfId="205" xr:uid="{55E75FE8-39FD-4A06-AE01-DE7A32BDCCB3}"/>
    <cellStyle name="Normal 4 8" xfId="219" xr:uid="{B5DC0F63-F991-47D4-BB79-F84D52824905}"/>
    <cellStyle name="Normal 4 9" xfId="232" xr:uid="{A7C01294-BF1A-42C7-988F-39A8823D96EE}"/>
    <cellStyle name="Normal 5" xfId="46" xr:uid="{C62667B6-4557-4D0C-9451-174CB4567076}"/>
    <cellStyle name="Normal 5 2" xfId="491" xr:uid="{C377A5B4-66FC-4111-97E5-81573F552B66}"/>
    <cellStyle name="Normal 5 3" xfId="492" xr:uid="{C83AE703-C538-4081-B264-9D976C1E455C}"/>
    <cellStyle name="Normal 5 4" xfId="70" xr:uid="{AC9137EB-BD33-4432-A5BA-C8563DFA9BE4}"/>
    <cellStyle name="Normal 6" xfId="47" xr:uid="{080534C9-56D6-4DD3-9BF4-C7731151273D}"/>
    <cellStyle name="Normal 6 10" xfId="251" xr:uid="{BB2A8768-A0DF-4504-BA75-9D7FE08C1CEE}"/>
    <cellStyle name="Normal 6 11" xfId="264" xr:uid="{8B9DB299-4D7E-4D9D-AA95-14104836D30C}"/>
    <cellStyle name="Normal 6 12" xfId="275" xr:uid="{8CA0960F-AE7B-4ECA-A46F-6D0AE3ECFF05}"/>
    <cellStyle name="Normal 6 13" xfId="289" xr:uid="{AC1BA62C-063E-459D-90FF-01D45C26C794}"/>
    <cellStyle name="Normal 6 14" xfId="310" xr:uid="{C039EF92-E89A-4557-B257-FC2B0DF4B0EE}"/>
    <cellStyle name="Normal 6 15" xfId="493" xr:uid="{A255A610-CE35-4756-B7FB-DFBB411F7D09}"/>
    <cellStyle name="Normal 6 16" xfId="97" xr:uid="{B3BC4597-AECB-47E0-BA39-38D055F9316F}"/>
    <cellStyle name="Normal 6 2" xfId="117" xr:uid="{F1ACD245-0448-4924-978A-9CC22E12A634}"/>
    <cellStyle name="Normal 6 3" xfId="145" xr:uid="{A768975C-B01A-4AC2-A8B8-7C2E71E4972B}"/>
    <cellStyle name="Normal 6 4" xfId="166" xr:uid="{2E77ACAA-A39E-4ED9-B97E-5B1FD3025A4E}"/>
    <cellStyle name="Normal 6 5" xfId="181" xr:uid="{A1D2CECD-B349-4CB9-AF35-8352917186A4}"/>
    <cellStyle name="Normal 6 6" xfId="195" xr:uid="{20F8D36A-A1E4-4331-A590-E4FB638DED83}"/>
    <cellStyle name="Normal 6 7" xfId="209" xr:uid="{9F292D70-C33B-4321-A1B3-F7CC28436EE5}"/>
    <cellStyle name="Normal 6 8" xfId="223" xr:uid="{8925DFEB-361C-4A22-815A-6F965ADA5BBB}"/>
    <cellStyle name="Normal 6 9" xfId="237" xr:uid="{09F67E9B-D5F3-44A4-96EA-A76C3AD40EC1}"/>
    <cellStyle name="Normal 7" xfId="48" xr:uid="{E95C992A-4114-4681-8153-6BB2F494E7F6}"/>
    <cellStyle name="Normal 7 2" xfId="494" xr:uid="{382E0225-D1AE-4BED-BC2D-99F79EA87537}"/>
    <cellStyle name="Normal 7 3" xfId="495" xr:uid="{CE4F1E69-5328-4784-A303-B05795E10534}"/>
    <cellStyle name="Normal 7 4" xfId="118" xr:uid="{12ED20A3-7B55-4A22-9AC3-5124321F9490}"/>
    <cellStyle name="Normal 8" xfId="49" xr:uid="{E9BFFE8E-EE1F-4CA0-82B3-D76654CE19EF}"/>
    <cellStyle name="Normal 8 10" xfId="254" xr:uid="{80390D9E-BABC-47B0-87F1-1E0DE3A11F2E}"/>
    <cellStyle name="Normal 8 11" xfId="266" xr:uid="{5442D161-75E7-41AD-B1A7-FE5A3812DBB7}"/>
    <cellStyle name="Normal 8 12" xfId="276" xr:uid="{A59208F2-F6B5-4BEE-9B87-0D227BF8FF94}"/>
    <cellStyle name="Normal 8 13" xfId="290" xr:uid="{101E16D0-8479-4CC9-8659-6F433CB3B214}"/>
    <cellStyle name="Normal 8 14" xfId="305" xr:uid="{CB5D1F91-EC1E-49B0-A69A-8FEB687BC35E}"/>
    <cellStyle name="Normal 8 15" xfId="496" xr:uid="{1D53AEAB-8F1C-46CE-A875-54A018C99748}"/>
    <cellStyle name="Normal 8 16" xfId="100" xr:uid="{D5BE79CE-78B0-4EC7-A403-143E7019086C}"/>
    <cellStyle name="Normal 8 2" xfId="119" xr:uid="{BCEB5E5C-D596-4A2D-BD1D-3F5EBF03794C}"/>
    <cellStyle name="Normal 8 3" xfId="146" xr:uid="{D1148971-5D97-43E9-A5E2-915527F474CF}"/>
    <cellStyle name="Normal 8 4" xfId="169" xr:uid="{5058539E-BBD4-4AB7-B2BD-4C3206F71220}"/>
    <cellStyle name="Normal 8 5" xfId="184" xr:uid="{7F43274D-2C83-4C7B-864E-B5F50975F1FC}"/>
    <cellStyle name="Normal 8 6" xfId="198" xr:uid="{C33D46A2-56BD-4607-9880-950A67645855}"/>
    <cellStyle name="Normal 8 7" xfId="212" xr:uid="{C28B0A1E-008F-482A-9BE2-ED97EE4936B0}"/>
    <cellStyle name="Normal 8 8" xfId="226" xr:uid="{111D73E2-4EDF-44F4-9FC1-B6B340CEFEF1}"/>
    <cellStyle name="Normal 8 9" xfId="240" xr:uid="{3AFC7B82-4EA0-4175-BA31-A537D8D0F5B3}"/>
    <cellStyle name="Normal 9" xfId="54" xr:uid="{83F3A8BB-9CF5-4132-BCD1-B4C6BBB514F0}"/>
    <cellStyle name="Normal_bethesda model" xfId="556" xr:uid="{3626CADD-B863-49AC-9D8B-9F47CA883C14}"/>
    <cellStyle name="Note 2" xfId="547" xr:uid="{D454D808-A6FC-4739-BDCF-DC86C268B2EE}"/>
    <cellStyle name="Output 2" xfId="548" xr:uid="{3D9B5576-B745-4CAB-8344-A58F116FC366}"/>
    <cellStyle name="Percent" xfId="2" builtinId="5"/>
    <cellStyle name="Percent (_)" xfId="462" xr:uid="{DCCF926A-B407-4B54-9795-4DF70DB7A3FE}"/>
    <cellStyle name="Percent (0)" xfId="463" xr:uid="{F4B0FB1B-F22A-458D-BE2E-61629C7EA967}"/>
    <cellStyle name="Percent (0.00)" xfId="464" xr:uid="{83EE3F96-17CE-4299-8F3B-9540D91CBCCA}"/>
    <cellStyle name="Percent 10" xfId="555" xr:uid="{B6D0EAF4-34F0-4141-BF5B-73806D8B81EE}"/>
    <cellStyle name="Percent 2" xfId="14" xr:uid="{05F4D790-3F47-438B-9596-31EF08FE2AB0}"/>
    <cellStyle name="Percent 2 2" xfId="55" xr:uid="{8D7BA2E6-22DC-4F8E-9F06-E4DE958214E2}"/>
    <cellStyle name="Percent 2 2 10" xfId="335" xr:uid="{2893DB5E-05F9-4A4A-B6CA-5611244E71FC}"/>
    <cellStyle name="Percent 2 2 11" xfId="340" xr:uid="{89494F86-546F-4EDB-BE92-363EA4451E0A}"/>
    <cellStyle name="Percent 2 2 12" xfId="345" xr:uid="{841FEAC1-8C26-460E-A8BC-E0359484420E}"/>
    <cellStyle name="Percent 2 2 13" xfId="361" xr:uid="{4FFD540D-2B25-48CC-8DA8-3696BF5FA843}"/>
    <cellStyle name="Percent 2 2 14" xfId="426" xr:uid="{92B16B28-B0CC-454A-B712-41B8D6EE9B32}"/>
    <cellStyle name="Percent 2 2 15" xfId="417" xr:uid="{11F25A0B-430E-4C43-99E3-2D8A63F62CA1}"/>
    <cellStyle name="Percent 2 2 16" xfId="434" xr:uid="{3E91E247-AF04-4EAE-BA8A-AC49189DC285}"/>
    <cellStyle name="Percent 2 2 17" xfId="427" xr:uid="{F8C95393-3C60-4B3D-8D47-938BCECD5856}"/>
    <cellStyle name="Percent 2 2 18" xfId="389" xr:uid="{4500F443-6723-4970-89BD-1995CA1BE8F2}"/>
    <cellStyle name="Percent 2 2 19" xfId="443" xr:uid="{6648D2A2-CC08-489F-A829-F309CE6576AE}"/>
    <cellStyle name="Percent 2 2 2" xfId="127" xr:uid="{22F0CF81-4978-4EDF-82CC-96F421E67B15}"/>
    <cellStyle name="Percent 2 2 3" xfId="295" xr:uid="{31113259-C79F-4A85-AC19-2469D83728C9}"/>
    <cellStyle name="Percent 2 2 4" xfId="317" xr:uid="{B8B6B1BB-E6FE-4D0B-93FC-7AF90D9CA4FA}"/>
    <cellStyle name="Percent 2 2 5" xfId="321" xr:uid="{79AB0516-081A-49D9-B6DC-931586C2A582}"/>
    <cellStyle name="Percent 2 2 6" xfId="324" xr:uid="{E429009B-FDBD-449B-A67B-E5277D377CFF}"/>
    <cellStyle name="Percent 2 2 7" xfId="327" xr:uid="{4880EC1A-29A3-4E18-98DB-20CBDD67119A}"/>
    <cellStyle name="Percent 2 2 8" xfId="330" xr:uid="{4977B099-734E-4568-890C-4CE34A134458}"/>
    <cellStyle name="Percent 2 2 9" xfId="333" xr:uid="{B945F875-951E-4AF2-AC7C-B7336BEF5D9B}"/>
    <cellStyle name="Percent 2 3" xfId="497" xr:uid="{4B55BF76-52E7-4EA3-BEC6-BD51FBB721D4}"/>
    <cellStyle name="Percent 2 4" xfId="498" xr:uid="{EA0FF3DF-D133-48AE-ADC1-121F7077BF1F}"/>
    <cellStyle name="Percent 2 5" xfId="120" xr:uid="{36AA3870-4C91-4F1B-BAB0-C6DCB461162F}"/>
    <cellStyle name="Percent 2 6" xfId="4" xr:uid="{00000000-0005-0000-0000-000005000000}"/>
    <cellStyle name="Percent 3" xfId="15" xr:uid="{E7AFF117-9503-478F-8137-12E4EC300CC5}"/>
    <cellStyle name="Percent 3 10" xfId="225" xr:uid="{291DE9DE-122A-41F1-A033-7CAFDCC960C0}"/>
    <cellStyle name="Percent 3 11" xfId="239" xr:uid="{259F2CDC-8B88-4815-8A53-B80EC6A103E2}"/>
    <cellStyle name="Percent 3 12" xfId="253" xr:uid="{A873DF5A-487F-4F34-B582-548975E44476}"/>
    <cellStyle name="Percent 3 13" xfId="280" xr:uid="{1FB58014-7D53-434C-AF8E-00D9AB765E8A}"/>
    <cellStyle name="Percent 3 14" xfId="296" xr:uid="{0BC3D1C1-5FF5-4071-B3E8-BA64DC84AC10}"/>
    <cellStyle name="Percent 3 15" xfId="346" xr:uid="{635C6E88-23D3-4248-9231-BA35055EA193}"/>
    <cellStyle name="Percent 3 16" xfId="362" xr:uid="{26304B6C-90C7-42F0-89E8-1331FB470F4B}"/>
    <cellStyle name="Percent 3 17" xfId="424" xr:uid="{8060A522-32CB-44DB-9DD5-F535C27B947A}"/>
    <cellStyle name="Percent 3 18" xfId="429" xr:uid="{3BA63C10-4FBB-4EF0-BD7F-E62893B40F7D}"/>
    <cellStyle name="Percent 3 19" xfId="396" xr:uid="{A64CF60C-FE16-4626-8F8D-3823F67D1B6A}"/>
    <cellStyle name="Percent 3 2" xfId="59" xr:uid="{EC0487CE-7C06-4FF6-8365-C81DFD2E177B}"/>
    <cellStyle name="Percent 3 20" xfId="398" xr:uid="{392E1152-9E15-4ECC-A329-B439CD6AAAD8}"/>
    <cellStyle name="Percent 3 21" xfId="372" xr:uid="{4828D1F5-3294-4AC9-B31F-B546B9B58157}"/>
    <cellStyle name="Percent 3 22" xfId="444" xr:uid="{5FD4EE84-0B5F-40C9-9DA0-9058BB34AC83}"/>
    <cellStyle name="Percent 3 23" xfId="86" xr:uid="{A804619C-276B-4E81-9288-89C29C608A3B}"/>
    <cellStyle name="Percent 3 24" xfId="74" xr:uid="{DC6054BD-721F-44F3-8E84-EC2ADB2E066A}"/>
    <cellStyle name="Percent 3 3" xfId="136" xr:uid="{37B7C4D1-3566-4250-9A80-677B3CE411DF}"/>
    <cellStyle name="Percent 3 4" xfId="155" xr:uid="{9CB01F4E-5B71-4A1B-93A8-BC71C873FD02}"/>
    <cellStyle name="Percent 3 5" xfId="151" xr:uid="{7E0BC519-208F-402C-94D8-815D92B272F1}"/>
    <cellStyle name="Percent 3 6" xfId="168" xr:uid="{5D599CB3-E889-43CE-BAE5-A06337B96EA4}"/>
    <cellStyle name="Percent 3 7" xfId="183" xr:uid="{EC2C348A-548F-452A-902B-333B76381463}"/>
    <cellStyle name="Percent 3 8" xfId="197" xr:uid="{E104D66F-00DD-4B32-AAA2-6933243167E0}"/>
    <cellStyle name="Percent 3 9" xfId="211" xr:uid="{8B5C1B90-B9BD-418C-8ADD-7718BBAC4094}"/>
    <cellStyle name="Percent 4" xfId="22" xr:uid="{9B38BD69-4CDC-4973-AA36-DB8A25C79F0D}"/>
    <cellStyle name="Percent 4 10" xfId="243" xr:uid="{2669345E-7279-4AC0-85CF-1F6CFCEBBAE0}"/>
    <cellStyle name="Percent 4 11" xfId="257" xr:uid="{AF314D2C-3027-404C-9BC4-B37302541418}"/>
    <cellStyle name="Percent 4 12" xfId="269" xr:uid="{B20052F7-76A7-415F-A711-CB8607F3C176}"/>
    <cellStyle name="Percent 4 13" xfId="283" xr:uid="{5EFC5591-78D4-4747-827E-F3342546E6F3}"/>
    <cellStyle name="Percent 4 14" xfId="300" xr:uid="{5A65EE07-0086-44B4-A677-EB4D2DFB4DC0}"/>
    <cellStyle name="Percent 4 15" xfId="350" xr:uid="{1332473F-8B40-4EAF-9E6D-BD444D66E871}"/>
    <cellStyle name="Percent 4 16" xfId="366" xr:uid="{4EB11399-C086-4D51-848B-B3F333C60C53}"/>
    <cellStyle name="Percent 4 17" xfId="409" xr:uid="{71C34E67-2668-4880-AA4D-ECBEA1F9B24B}"/>
    <cellStyle name="Percent 4 18" xfId="385" xr:uid="{FD29A093-4856-4F89-ABC5-EDD692A8DD57}"/>
    <cellStyle name="Percent 4 19" xfId="376" xr:uid="{AC69CDD7-C498-4A1B-A8C7-DA0A2E8F0089}"/>
    <cellStyle name="Percent 4 2" xfId="63" xr:uid="{62787765-A394-452F-A0D8-7501CE3D07E1}"/>
    <cellStyle name="Percent 4 20" xfId="379" xr:uid="{D2341F2E-EFBE-4170-99DF-8042127575F3}"/>
    <cellStyle name="Percent 4 21" xfId="439" xr:uid="{A54AD60F-F7A0-474D-8123-B4C6D851CAB2}"/>
    <cellStyle name="Percent 4 22" xfId="448" xr:uid="{6F013DF6-1325-4987-A3D5-0A7B6B7BB78C}"/>
    <cellStyle name="Percent 4 23" xfId="89" xr:uid="{A6DEA00B-C7D6-480F-80DA-F8DBD19C414F}"/>
    <cellStyle name="Percent 4 24" xfId="78" xr:uid="{72983AB8-36F2-4D31-9C73-DD5CFA00E811}"/>
    <cellStyle name="Percent 4 3" xfId="139" xr:uid="{AE2C7B80-DC3B-4E59-9583-DCD8D911EF56}"/>
    <cellStyle name="Percent 4 4" xfId="159" xr:uid="{8E762CD4-6D7C-43D6-8CF4-BD75A58A4330}"/>
    <cellStyle name="Percent 4 5" xfId="173" xr:uid="{27285BCC-68AB-44E3-8815-CD26C5DD9005}"/>
    <cellStyle name="Percent 4 6" xfId="188" xr:uid="{D6FC46EA-09BE-44A9-8544-3DD263FBE8DC}"/>
    <cellStyle name="Percent 4 7" xfId="202" xr:uid="{361C94E8-52A4-4508-921A-632D4D4201E3}"/>
    <cellStyle name="Percent 4 8" xfId="216" xr:uid="{347ABCE6-EE5F-4FD8-B1D1-EE41ED2C1BC3}"/>
    <cellStyle name="Percent 4 9" xfId="229" xr:uid="{AA78C838-3EE0-4617-A25D-42E17EA3DC5E}"/>
    <cellStyle name="Percent 5" xfId="23" xr:uid="{3BC8AB4C-E1E4-415E-9FB2-69CA23F1E3B7}"/>
    <cellStyle name="Percent 5 10" xfId="245" xr:uid="{D526C372-53A9-42E2-AA8A-4FE4572C645D}"/>
    <cellStyle name="Percent 5 11" xfId="259" xr:uid="{A5606A78-6CD4-43DB-8812-8FD8CFE6D3E3}"/>
    <cellStyle name="Percent 5 12" xfId="271" xr:uid="{A1763E31-F4CC-45FF-87FC-0FCB26C0EB0B}"/>
    <cellStyle name="Percent 5 13" xfId="285" xr:uid="{34D522DA-967C-4A96-88BE-BA5AB2D51A24}"/>
    <cellStyle name="Percent 5 14" xfId="302" xr:uid="{DFFC175A-3D1E-456C-856A-7E2B0E55811D}"/>
    <cellStyle name="Percent 5 15" xfId="352" xr:uid="{867B3644-2925-4C35-AE70-B62C481DA1F1}"/>
    <cellStyle name="Percent 5 16" xfId="368" xr:uid="{77B24F82-8995-4410-BB85-E356F4CC5AFE}"/>
    <cellStyle name="Percent 5 17" xfId="403" xr:uid="{89539F1A-B2CD-415E-9C89-74EEDB605F53}"/>
    <cellStyle name="Percent 5 18" xfId="404" xr:uid="{826CEF49-743B-4D1F-9AD1-1F03E4E5739E}"/>
    <cellStyle name="Percent 5 19" xfId="420" xr:uid="{C400C31C-F55C-4239-A58C-71A2FE96CD41}"/>
    <cellStyle name="Percent 5 2" xfId="65" xr:uid="{04278179-1D1F-4E7A-BC19-1BCC8A8CE3A9}"/>
    <cellStyle name="Percent 5 20" xfId="382" xr:uid="{BF4952E4-B3B1-459A-8DEB-EA337635B03B}"/>
    <cellStyle name="Percent 5 21" xfId="378" xr:uid="{45F1FE73-9E43-4C5A-98A2-B4C10A9CE212}"/>
    <cellStyle name="Percent 5 22" xfId="450" xr:uid="{8FC25CAC-D896-4189-8F3B-C32C5DDB9C9B}"/>
    <cellStyle name="Percent 5 23" xfId="91" xr:uid="{8B82271F-56D4-4F03-B365-F4A1138360FD}"/>
    <cellStyle name="Percent 5 24" xfId="80" xr:uid="{7BBFAF0B-7EFE-4A2B-9077-4AA3AFA287B2}"/>
    <cellStyle name="Percent 5 3" xfId="141" xr:uid="{387CDD96-FD8A-4CB7-9398-131F17C0FD1C}"/>
    <cellStyle name="Percent 5 4" xfId="161" xr:uid="{A6F505A9-4057-43F6-96A6-E3A6520A145C}"/>
    <cellStyle name="Percent 5 5" xfId="175" xr:uid="{3A311028-E6B3-45B1-955F-F3FD80D9D1F6}"/>
    <cellStyle name="Percent 5 6" xfId="190" xr:uid="{B6B532E2-AA46-44FE-93B2-3C94970FB2FE}"/>
    <cellStyle name="Percent 5 7" xfId="204" xr:uid="{B1C54201-2C88-4B47-B1F5-EB5C266005B8}"/>
    <cellStyle name="Percent 5 8" xfId="218" xr:uid="{648661B2-AA7D-42B5-9F1E-9B529139999F}"/>
    <cellStyle name="Percent 5 9" xfId="231" xr:uid="{927C017D-0992-4428-B047-98C5000FDDDA}"/>
    <cellStyle name="Percent 6" xfId="50" xr:uid="{39847B6E-06DA-4CE8-99DC-ED4CAA13F02E}"/>
    <cellStyle name="Percent 6 2" xfId="499" xr:uid="{EF7A04C6-5282-4FDE-B24E-163D65A41BED}"/>
    <cellStyle name="Percent 6 3" xfId="500" xr:uid="{6BB93173-260C-4192-B2CD-B1A6693F55B0}"/>
    <cellStyle name="Percent 6 4" xfId="121" xr:uid="{3495ECEC-A7A8-4C4B-B3C2-7FCCFCA4CA1D}"/>
    <cellStyle name="Percent 7" xfId="51" xr:uid="{880E1B81-5DF7-426B-BF45-20455A8B8B9A}"/>
    <cellStyle name="Percent 7 2" xfId="501" xr:uid="{63B07193-6A25-4A4C-805F-71F09B0ABD3F}"/>
    <cellStyle name="Percent 7 3" xfId="502" xr:uid="{6EC3E9FF-26D2-41B4-905C-D93967B6715E}"/>
    <cellStyle name="Percent 7 4" xfId="122" xr:uid="{006B1C74-CFD4-42C1-A386-538891D9ED1F}"/>
    <cellStyle name="Percent 8" xfId="52" xr:uid="{44D754BD-EC32-4AD8-8E8D-55CB881BD8DE}"/>
    <cellStyle name="Percent 8 2" xfId="503" xr:uid="{3843499A-EF9B-4844-8F7C-F24A15C29D8F}"/>
    <cellStyle name="Percent 8 3" xfId="504" xr:uid="{01761ED9-57B2-4082-93D5-FB500798CD9E}"/>
    <cellStyle name="Percent 8 4" xfId="123" xr:uid="{F1F26ACF-672C-494E-AA91-5B8804D337F6}"/>
    <cellStyle name="Percent 9" xfId="53" xr:uid="{E45D7D82-0770-4835-937C-F2722899A876}"/>
    <cellStyle name="Percent 9 2" xfId="505" xr:uid="{B235E6F5-F7D7-408F-8BB7-F5A01620D748}"/>
    <cellStyle name="Percent 9 3" xfId="506" xr:uid="{B381754D-B522-4410-A605-F81FF75C0204}"/>
    <cellStyle name="Percent 9 4" xfId="124" xr:uid="{91A319AE-2086-4E6A-90DE-CABB38292A4D}"/>
    <cellStyle name="Title 2" xfId="549" xr:uid="{09BE0825-26A6-4FBE-89B8-0BB74C321B0E}"/>
    <cellStyle name="Total 2" xfId="550" xr:uid="{E79D0AB1-E2CB-4D37-8F8B-76F4879465FD}"/>
    <cellStyle name="Warning Text 2" xfId="551" xr:uid="{687755F4-4BAB-4671-A2F9-87E18D8AD1BB}"/>
  </cellStyles>
  <dxfs count="197">
    <dxf>
      <font>
        <b/>
        <i val="0"/>
      </font>
      <numFmt numFmtId="189" formatCode="0_);\(0\)"/>
    </dxf>
    <dxf>
      <font>
        <b/>
        <i val="0"/>
      </font>
      <numFmt numFmtId="189" formatCode="0_);\(0\)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numFmt numFmtId="190" formatCode="&quot; up to &quot;0.00&quot;X EM to LP&quot;"/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11817E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A50021"/>
      </font>
      <fill>
        <patternFill>
          <bgColor rgb="FFFFC7CE"/>
        </patternFill>
      </fill>
    </dxf>
    <dxf>
      <font>
        <b val="0"/>
        <i val="0"/>
        <color rgb="FF006600"/>
      </font>
      <fill>
        <patternFill>
          <bgColor rgb="FFC6EFCE"/>
        </patternFill>
      </fill>
    </dxf>
    <dxf>
      <font>
        <b val="0"/>
        <i val="0"/>
        <color rgb="FFA50021"/>
      </font>
      <fill>
        <patternFill>
          <bgColor rgb="FFFFC7CE"/>
        </patternFill>
      </fill>
    </dxf>
    <dxf>
      <font>
        <b val="0"/>
        <i val="0"/>
        <color rgb="FF006600"/>
      </font>
      <fill>
        <patternFill>
          <bgColor rgb="FFC6EF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ill>
        <patternFill>
          <bgColor theme="4" tint="0.59996337778862885"/>
        </patternFill>
      </fill>
    </dxf>
    <dxf>
      <fill>
        <patternFill>
          <bgColor rgb="FF38B6A1"/>
        </patternFill>
      </fill>
    </dxf>
    <dxf>
      <fill>
        <patternFill>
          <bgColor rgb="FF38B6A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8B6A1"/>
      <color rgb="FFCCCCFF"/>
      <color rgb="FFFF8989"/>
      <color rgb="FF006600"/>
      <color rgb="FFA50021"/>
      <color rgb="FF008080"/>
      <color rgb="FF11817E"/>
      <color rgb="FF009E75"/>
      <color rgb="FF09B37E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146050</xdr:colOff>
      <xdr:row>1</xdr:row>
      <xdr:rowOff>165100</xdr:rowOff>
    </xdr:from>
    <xdr:to>
      <xdr:col>11</xdr:col>
      <xdr:colOff>495300</xdr:colOff>
      <xdr:row>13</xdr:row>
      <xdr:rowOff>44450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1233A1-1A59-3B9C-8230-2E07BF6433A6}"/>
            </a:ext>
          </a:extLst>
        </xdr:cNvPr>
        <xdr:cNvSpPr txBox="1"/>
      </xdr:nvSpPr>
      <xdr:spPr>
        <a:xfrm>
          <a:off x="755650" y="349250"/>
          <a:ext cx="6445250" cy="208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John Snee is a</a:t>
          </a:r>
          <a:r>
            <a:rPr lang="en-US" sz="1100" baseline="0"/>
            <a:t> Senior</a:t>
          </a:r>
          <a:r>
            <a:rPr lang="en-US" sz="1100"/>
            <a:t> Investment Sales Associate at SAB Capital. John graduated from Sacred Heart University with a B.S. in Finance and previously worked at one of the fastest-growing affordable housing owners, operators, and development companies in the country. He led the acquisitions team and participated in more than $50 million in acquisitions and low-income housing tax credit credit (LIHTC) developments throughout</a:t>
          </a:r>
          <a:r>
            <a:rPr lang="en-US" sz="1100" baseline="0"/>
            <a:t> the United States</a:t>
          </a:r>
          <a:r>
            <a:rPr lang="en-US" sz="1100"/>
            <a:t>.</a:t>
          </a:r>
        </a:p>
        <a:p>
          <a:endParaRPr lang="en-US" sz="1100"/>
        </a:p>
        <a:p>
          <a:r>
            <a:rPr lang="en-US" sz="1100"/>
            <a:t>John has experience on</a:t>
          </a:r>
          <a:r>
            <a:rPr lang="en-US" sz="1100" baseline="0"/>
            <a:t> all facets of affordable housing, including tax credit development, property management, compliance, and other intricacies unique to affordable housing. His first-hand experience working with lenders, syndicators, architects, and general contractors enable him to offer a wide spectrum of of solutions for his clients.</a:t>
          </a:r>
          <a:br>
            <a:rPr lang="en-US" sz="1100"/>
          </a:br>
          <a:br>
            <a:rPr lang="en-US" sz="1100"/>
          </a:br>
          <a:endParaRPr lang="en-US" sz="110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30</xdr:row>
      <xdr:rowOff>0</xdr:rowOff>
    </xdr:from>
    <xdr:to>
      <xdr:col>24</xdr:col>
      <xdr:colOff>789040</xdr:colOff>
      <xdr:row>43</xdr:row>
      <xdr:rowOff>198616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12816B-670D-44A2-8FEB-F74702E16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48250" y="3418417"/>
          <a:ext cx="3819048" cy="28095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393700</xdr:colOff>
      <xdr:row>14</xdr:row>
      <xdr:rowOff>30480</xdr:rowOff>
    </xdr:from>
    <xdr:to>
      <xdr:col>7</xdr:col>
      <xdr:colOff>228600</xdr:colOff>
      <xdr:row>26</xdr:row>
      <xdr:rowOff>112395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9A896E-CE99-44FB-8CE9-9B3D7EBA5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2973705"/>
          <a:ext cx="2882900" cy="2367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232833</xdr:colOff>
      <xdr:row>5</xdr:row>
      <xdr:rowOff>46565</xdr:rowOff>
    </xdr:from>
    <xdr:to>
      <xdr:col>31</xdr:col>
      <xdr:colOff>12095</xdr:colOff>
      <xdr:row>23</xdr:row>
      <xdr:rowOff>63499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00F53F-27BA-49A2-81A0-06BC1BF8B490}"/>
            </a:ext>
          </a:extLst>
        </xdr:cNvPr>
        <xdr:cNvSpPr txBox="1"/>
      </xdr:nvSpPr>
      <xdr:spPr>
        <a:xfrm>
          <a:off x="17653000" y="1147232"/>
          <a:ext cx="3927928" cy="266276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Income &amp; Expense Notes: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Analysis assumes annual rent growth of 2% post rehabiliation.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Gain to Lease: Analysis assumes contract rents and utility allowances as illustrated in the unit mix.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Other Income: Analysis assumes ownership will achieve other income in line with past operations.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-Professional Management Fee:  Adjusted to standard industry expextations for market underwriting. Underwriting assumes 4.50%.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393700</xdr:colOff>
      <xdr:row>14</xdr:row>
      <xdr:rowOff>30480</xdr:rowOff>
    </xdr:from>
    <xdr:to>
      <xdr:col>7</xdr:col>
      <xdr:colOff>228600</xdr:colOff>
      <xdr:row>26</xdr:row>
      <xdr:rowOff>112395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A6303E-2BED-4F3C-9531-93A2ABB32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2865120"/>
          <a:ext cx="2882900" cy="2276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27</xdr:col>
      <xdr:colOff>354998</xdr:colOff>
      <xdr:row>15</xdr:row>
      <xdr:rowOff>183745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92DC0F-587B-4B19-A4DD-9B062E455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92225" y="0"/>
          <a:ext cx="4819048" cy="32380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essica\Local%20Settings\Temporary%20Internet%20Files\OLKA\For%20Sale%20Analys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reen%20National\201023%20-%20Winton%20-%20202%20Units%20-%204%25%20-%20V%201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essica\Local%20Settings\Temporary%20Internet%20Files\OLKA\For%20Sale%20Analysi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egon-profile\users\Users\dbuscher\AppData\Local\Microsoft\Windows\Temporary%20Internet%20Files\Content.Outlook\955AHDBK\Fairgrounds%20-%204%25%20Model%20draft%20092214%20155uni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tion"/>
      <sheetName val="Home Sale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"/>
      <sheetName val="Cover sheet"/>
      <sheetName val="Cover sheet (2)"/>
      <sheetName val="Assumptions"/>
      <sheetName val="Drop-down menus"/>
      <sheetName val="Absorption"/>
      <sheetName val="Rent Matrix"/>
      <sheetName val="Operations"/>
      <sheetName val="Feasibility Report 1"/>
      <sheetName val="Development Costs (2)"/>
      <sheetName val="WHEDA Cost limits"/>
      <sheetName val="Developer &amp; Contractor Fee Calc"/>
      <sheetName val="Development Costs"/>
      <sheetName val="Credits"/>
      <sheetName val="Financing"/>
      <sheetName val="Financial Participation"/>
      <sheetName val="Pro Forma"/>
      <sheetName val="Pro Forma (Accountant)"/>
      <sheetName val="Pro Forma (CDA)"/>
      <sheetName val="Flow of Funds"/>
      <sheetName val="Income &amp; Rent Limits"/>
      <sheetName val="Revenue"/>
      <sheetName val="Operating Expenses"/>
      <sheetName val="IS"/>
      <sheetName val="CF"/>
      <sheetName val="CF WATERFALL"/>
      <sheetName val="Depr &amp; Amort"/>
      <sheetName val="1ST MTG"/>
      <sheetName val="2ND MTG"/>
      <sheetName val="3RD MTG"/>
      <sheetName val="4TH MTG"/>
      <sheetName val="Balance Sheet"/>
      <sheetName val="704B"/>
      <sheetName val="Member Equity"/>
      <sheetName val="Sale &amp; IRR"/>
      <sheetName val="CF NOTE - X"/>
      <sheetName val="X-3RD MTG"/>
      <sheetName val="CF NOTE - HOME"/>
      <sheetName val="X-Bridge Loa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1-Story Row</v>
          </cell>
        </row>
        <row r="3">
          <cell r="A3" t="str">
            <v>2-story Row</v>
          </cell>
        </row>
        <row r="4">
          <cell r="A4" t="str">
            <v>Duplex</v>
          </cell>
        </row>
        <row r="5">
          <cell r="A5" t="str">
            <v>Multi-story Elevator</v>
          </cell>
        </row>
        <row r="6">
          <cell r="A6" t="str">
            <v>Multi-story no Elevator</v>
          </cell>
        </row>
        <row r="7">
          <cell r="A7" t="str">
            <v>Single-Family</v>
          </cell>
        </row>
        <row r="8">
          <cell r="A8" t="str">
            <v>Townhome/Rowhouse</v>
          </cell>
        </row>
        <row r="9">
          <cell r="A9" t="str">
            <v>Walkup</v>
          </cell>
        </row>
        <row r="12">
          <cell r="A12" t="str">
            <v>FAMILY</v>
          </cell>
        </row>
        <row r="13">
          <cell r="A13" t="str">
            <v>SENIOR</v>
          </cell>
        </row>
        <row r="23">
          <cell r="A23" t="str">
            <v>ARIZONA</v>
          </cell>
        </row>
        <row r="24">
          <cell r="A24" t="str">
            <v>COLORADO</v>
          </cell>
        </row>
        <row r="25">
          <cell r="A25" t="str">
            <v>FLORIDA</v>
          </cell>
        </row>
        <row r="26">
          <cell r="A26" t="str">
            <v>ILLINOIS</v>
          </cell>
        </row>
        <row r="27">
          <cell r="A27" t="str">
            <v>WISCONSIN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tion"/>
      <sheetName val="Home Sale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Summary - Notes"/>
      <sheetName val="Cover sheet"/>
      <sheetName val="Assumptions"/>
      <sheetName val="Unit Mix"/>
      <sheetName val="LI-MARKET Operations"/>
      <sheetName val="PH- Operations"/>
      <sheetName val="OPERATIONS"/>
      <sheetName val="CONSTRUCT BUDGET"/>
      <sheetName val="DEV COSTS"/>
      <sheetName val="DRAW SCHED"/>
      <sheetName val="TC CALC"/>
      <sheetName val="FINANCING"/>
      <sheetName val="LEASE UP"/>
      <sheetName val="RENTAL FORECAST"/>
      <sheetName val="EXPENSE FORECAST"/>
      <sheetName val="PROFORMA"/>
      <sheetName val="IS"/>
      <sheetName val="CF"/>
      <sheetName val="Depn &amp; Amort"/>
      <sheetName val="1ST MTG"/>
      <sheetName val="2ND MTG"/>
      <sheetName val="X-3RD MTG"/>
      <sheetName val="4TH MTG"/>
      <sheetName val="BS"/>
      <sheetName val="Member Equity"/>
      <sheetName val="704B"/>
      <sheetName val="AMORT"/>
      <sheetName val="CF WATERFALL"/>
      <sheetName val="SALE &amp; IRR"/>
      <sheetName val="X-Bridge Loan"/>
      <sheetName val="PREDEV MATRIX"/>
      <sheetName val="IHDA FEE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6">
          <cell r="H36">
            <v>0.23118279569892472</v>
          </cell>
          <cell r="T36">
            <v>0.5161290322580645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huduser.gov/portal/sadda/sadda_qct.html" TargetMode="External"/><Relationship Id="rId6" Type="http://schemas.openxmlformats.org/officeDocument/2006/relationships/comments" Target="../comments6.xml"/><Relationship Id="rId5" Type="http://schemas.openxmlformats.org/officeDocument/2006/relationships/vmlDrawing" Target="../drawings/vmlDrawing17.vml"/><Relationship Id="rId4" Type="http://schemas.openxmlformats.org/officeDocument/2006/relationships/vmlDrawing" Target="../drawings/vmlDrawing16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huduser.gov/portal/datasets/fmr/fmrs/FY2021_code/select_Geography.odn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novoco.com/resource-centers/affordable-housing-tax-credits/rent-income-limit-calculator" TargetMode="External"/><Relationship Id="rId1" Type="http://schemas.openxmlformats.org/officeDocument/2006/relationships/hyperlink" Target="https://facc.firstam.com/?SSID=0.3965602693778638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msc.fema.gov/portal/home" TargetMode="External"/><Relationship Id="rId4" Type="http://schemas.openxmlformats.org/officeDocument/2006/relationships/hyperlink" Target="https://www.hud.gov/program_offices/housing/mfh/mfhsec8" TargetMode="External"/><Relationship Id="rId9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67EE-510D-4331-B6B5-E4CF819DCAE3}">
  <sheetPr>
    <tabColor rgb="FFFF0000"/>
    <pageSetUpPr fitToPage="1"/>
  </sheetPr>
  <dimension ref="A1:P753"/>
  <sheetViews>
    <sheetView tabSelected="1" workbookViewId="0">
      <selection activeCell="O20" sqref="O20"/>
    </sheetView>
  </sheetViews>
  <sheetFormatPr defaultRowHeight="15"/>
  <cols>
    <col min="1" max="1" width="16.140625" customWidth="1"/>
    <col min="2" max="2" width="4" style="444" customWidth="1"/>
  </cols>
  <sheetData>
    <row r="1" spans="1:16" s="471" customFormat="1" ht="18.75">
      <c r="A1" s="470" t="str">
        <f>UPPER('Input Page'!F32)</f>
        <v/>
      </c>
      <c r="B1" s="475"/>
      <c r="P1" s="476" t="s">
        <v>0</v>
      </c>
    </row>
    <row r="2" spans="1:16" s="471" customFormat="1" ht="15.75">
      <c r="A2" s="24" t="s">
        <v>1</v>
      </c>
      <c r="B2" s="475"/>
      <c r="P2" s="476" t="s">
        <v>2</v>
      </c>
    </row>
    <row r="3" spans="1:16" s="471" customFormat="1" ht="15.75">
      <c r="B3" s="475"/>
      <c r="P3" s="476" t="s">
        <v>3</v>
      </c>
    </row>
    <row r="4" spans="1:16" s="471" customFormat="1" ht="15.75">
      <c r="B4" s="475"/>
    </row>
    <row r="5" spans="1:16" s="471" customFormat="1" ht="15.75">
      <c r="A5" s="473" t="s">
        <v>4</v>
      </c>
      <c r="B5" s="475"/>
      <c r="C5" s="472" t="s">
        <v>5</v>
      </c>
      <c r="D5" s="472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</row>
    <row r="6" spans="1:16" s="471" customFormat="1" ht="15.75">
      <c r="A6" s="474"/>
      <c r="B6" s="475">
        <v>1</v>
      </c>
    </row>
    <row r="7" spans="1:16" s="471" customFormat="1" ht="15.75">
      <c r="A7" s="474"/>
      <c r="B7" s="475">
        <v>2</v>
      </c>
    </row>
    <row r="8" spans="1:16" s="471" customFormat="1" ht="15.75">
      <c r="A8" s="474"/>
      <c r="B8" s="475">
        <v>3</v>
      </c>
    </row>
    <row r="9" spans="1:16" s="471" customFormat="1" ht="15.75">
      <c r="A9" s="474"/>
      <c r="B9" s="475">
        <v>4</v>
      </c>
    </row>
    <row r="10" spans="1:16" s="471" customFormat="1" ht="15.75">
      <c r="A10" s="474"/>
      <c r="B10" s="475"/>
    </row>
    <row r="11" spans="1:16" s="471" customFormat="1" ht="15.75">
      <c r="A11" s="474"/>
      <c r="B11" s="475"/>
    </row>
    <row r="12" spans="1:16" s="471" customFormat="1" ht="15.75">
      <c r="A12" s="474"/>
      <c r="B12" s="475"/>
    </row>
    <row r="13" spans="1:16" s="471" customFormat="1" ht="15.75">
      <c r="A13" s="474"/>
      <c r="B13" s="475"/>
    </row>
    <row r="14" spans="1:16" s="471" customFormat="1" ht="15.75">
      <c r="A14" s="474"/>
      <c r="B14" s="475"/>
    </row>
    <row r="15" spans="1:16" s="471" customFormat="1" ht="15.75">
      <c r="A15" s="474"/>
      <c r="B15" s="475"/>
    </row>
    <row r="16" spans="1:16" s="471" customFormat="1" ht="15.75">
      <c r="A16" s="474"/>
      <c r="B16" s="475"/>
    </row>
    <row r="17" spans="1:2" s="471" customFormat="1" ht="15.75">
      <c r="A17" s="474"/>
      <c r="B17" s="475"/>
    </row>
    <row r="18" spans="1:2" s="471" customFormat="1" ht="15.75">
      <c r="A18" s="474"/>
      <c r="B18" s="475"/>
    </row>
    <row r="19" spans="1:2" s="471" customFormat="1" ht="15.75">
      <c r="A19" s="474"/>
      <c r="B19" s="475"/>
    </row>
    <row r="20" spans="1:2" s="471" customFormat="1" ht="15.75">
      <c r="A20" s="474"/>
      <c r="B20" s="475"/>
    </row>
    <row r="21" spans="1:2" s="471" customFormat="1" ht="15.75">
      <c r="A21" s="474"/>
      <c r="B21" s="475"/>
    </row>
    <row r="22" spans="1:2" s="471" customFormat="1" ht="15.75">
      <c r="A22" s="474"/>
      <c r="B22" s="475"/>
    </row>
    <row r="23" spans="1:2" s="471" customFormat="1" ht="15.75">
      <c r="A23" s="474"/>
      <c r="B23" s="475"/>
    </row>
    <row r="24" spans="1:2" s="471" customFormat="1" ht="15.75">
      <c r="A24" s="474"/>
      <c r="B24" s="475"/>
    </row>
    <row r="25" spans="1:2" s="471" customFormat="1" ht="15.75">
      <c r="A25" s="474"/>
      <c r="B25" s="475"/>
    </row>
    <row r="26" spans="1:2" s="471" customFormat="1" ht="15.75">
      <c r="A26" s="474"/>
      <c r="B26" s="475"/>
    </row>
    <row r="27" spans="1:2" s="471" customFormat="1" ht="15.75">
      <c r="A27" s="474"/>
      <c r="B27" s="475"/>
    </row>
    <row r="28" spans="1:2" s="471" customFormat="1" ht="15.75">
      <c r="A28" s="474"/>
      <c r="B28" s="475"/>
    </row>
    <row r="29" spans="1:2" s="471" customFormat="1" ht="15.75">
      <c r="A29" s="474"/>
      <c r="B29" s="475"/>
    </row>
    <row r="30" spans="1:2" s="471" customFormat="1" ht="15.75">
      <c r="A30" s="474"/>
      <c r="B30" s="475"/>
    </row>
    <row r="31" spans="1:2" s="471" customFormat="1" ht="15.75">
      <c r="A31" s="474"/>
      <c r="B31" s="475"/>
    </row>
    <row r="32" spans="1:2" s="471" customFormat="1" ht="15.75">
      <c r="A32" s="474"/>
      <c r="B32" s="475"/>
    </row>
    <row r="33" spans="1:2" s="471" customFormat="1" ht="15.75">
      <c r="A33" s="474"/>
      <c r="B33" s="475"/>
    </row>
    <row r="34" spans="1:2" s="471" customFormat="1" ht="15.75">
      <c r="A34" s="474"/>
      <c r="B34" s="475"/>
    </row>
    <row r="35" spans="1:2" s="471" customFormat="1" ht="15.75">
      <c r="A35" s="474"/>
      <c r="B35" s="475"/>
    </row>
    <row r="36" spans="1:2" s="471" customFormat="1" ht="15.75">
      <c r="A36" s="474"/>
      <c r="B36" s="475"/>
    </row>
    <row r="37" spans="1:2" s="471" customFormat="1" ht="15.75">
      <c r="A37" s="474"/>
      <c r="B37" s="475"/>
    </row>
    <row r="38" spans="1:2" s="471" customFormat="1" ht="15.75">
      <c r="A38" s="474"/>
      <c r="B38" s="475"/>
    </row>
    <row r="39" spans="1:2" s="471" customFormat="1" ht="15.75">
      <c r="A39" s="474"/>
      <c r="B39" s="475"/>
    </row>
    <row r="40" spans="1:2" s="471" customFormat="1" ht="15.75">
      <c r="A40" s="474"/>
      <c r="B40" s="475"/>
    </row>
    <row r="41" spans="1:2" s="471" customFormat="1" ht="15.75">
      <c r="A41" s="474"/>
      <c r="B41" s="475"/>
    </row>
    <row r="42" spans="1:2" s="471" customFormat="1" ht="15.75">
      <c r="A42" s="474"/>
      <c r="B42" s="475"/>
    </row>
    <row r="43" spans="1:2" s="471" customFormat="1" ht="15.75">
      <c r="A43" s="474"/>
      <c r="B43" s="475"/>
    </row>
    <row r="44" spans="1:2" s="471" customFormat="1" ht="15.75">
      <c r="A44" s="474"/>
      <c r="B44" s="475"/>
    </row>
    <row r="45" spans="1:2" s="471" customFormat="1" ht="15.75">
      <c r="A45" s="474"/>
      <c r="B45" s="475"/>
    </row>
    <row r="46" spans="1:2" s="471" customFormat="1" ht="15.75">
      <c r="A46" s="474"/>
      <c r="B46" s="475"/>
    </row>
    <row r="47" spans="1:2" s="471" customFormat="1" ht="15.75">
      <c r="A47" s="474"/>
      <c r="B47" s="475"/>
    </row>
    <row r="48" spans="1:2" s="471" customFormat="1" ht="15.75">
      <c r="A48" s="474"/>
      <c r="B48" s="475"/>
    </row>
    <row r="49" spans="1:2" s="471" customFormat="1" ht="15.75">
      <c r="A49" s="474"/>
      <c r="B49" s="475"/>
    </row>
    <row r="50" spans="1:2" s="471" customFormat="1" ht="15.75">
      <c r="A50" s="474"/>
      <c r="B50" s="475"/>
    </row>
    <row r="51" spans="1:2" s="471" customFormat="1" ht="15.75">
      <c r="A51" s="474"/>
      <c r="B51" s="475"/>
    </row>
    <row r="52" spans="1:2" s="471" customFormat="1" ht="15.75">
      <c r="A52" s="474"/>
      <c r="B52" s="475"/>
    </row>
    <row r="53" spans="1:2" s="471" customFormat="1" ht="15.75">
      <c r="A53" s="474"/>
      <c r="B53" s="475"/>
    </row>
    <row r="54" spans="1:2" s="471" customFormat="1" ht="15.75">
      <c r="A54" s="474"/>
      <c r="B54" s="475"/>
    </row>
    <row r="55" spans="1:2" s="471" customFormat="1" ht="15.75">
      <c r="A55" s="474"/>
      <c r="B55" s="475"/>
    </row>
    <row r="56" spans="1:2" s="471" customFormat="1" ht="15.75">
      <c r="A56" s="474"/>
      <c r="B56" s="475"/>
    </row>
    <row r="57" spans="1:2" s="471" customFormat="1" ht="15.75">
      <c r="A57" s="474"/>
      <c r="B57" s="475"/>
    </row>
    <row r="58" spans="1:2" s="471" customFormat="1" ht="15.75">
      <c r="A58" s="474"/>
      <c r="B58" s="475"/>
    </row>
    <row r="59" spans="1:2" s="471" customFormat="1" ht="15.75">
      <c r="A59" s="474"/>
      <c r="B59" s="475"/>
    </row>
    <row r="60" spans="1:2" s="471" customFormat="1" ht="15.75">
      <c r="A60" s="474"/>
      <c r="B60" s="475"/>
    </row>
    <row r="61" spans="1:2" s="471" customFormat="1" ht="15.75">
      <c r="A61" s="474"/>
      <c r="B61" s="475"/>
    </row>
    <row r="62" spans="1:2" s="471" customFormat="1" ht="15.75">
      <c r="A62" s="474"/>
      <c r="B62" s="475"/>
    </row>
    <row r="63" spans="1:2" s="471" customFormat="1" ht="15.75">
      <c r="A63" s="474"/>
      <c r="B63" s="475"/>
    </row>
    <row r="64" spans="1:2" s="471" customFormat="1" ht="15.75">
      <c r="A64" s="474"/>
      <c r="B64" s="475"/>
    </row>
    <row r="65" spans="1:2" s="471" customFormat="1" ht="15.75">
      <c r="A65" s="474"/>
      <c r="B65" s="475"/>
    </row>
    <row r="66" spans="1:2" s="471" customFormat="1" ht="15.75">
      <c r="A66" s="474"/>
      <c r="B66" s="475"/>
    </row>
    <row r="67" spans="1:2" s="471" customFormat="1" ht="15.75">
      <c r="A67" s="474"/>
      <c r="B67" s="475"/>
    </row>
    <row r="68" spans="1:2" s="471" customFormat="1" ht="15.75">
      <c r="A68" s="474"/>
      <c r="B68" s="475"/>
    </row>
    <row r="69" spans="1:2" s="471" customFormat="1" ht="15.75">
      <c r="A69" s="474"/>
      <c r="B69" s="475"/>
    </row>
    <row r="70" spans="1:2" s="471" customFormat="1" ht="15.75">
      <c r="A70" s="474"/>
      <c r="B70" s="475"/>
    </row>
    <row r="71" spans="1:2" s="471" customFormat="1" ht="15.75">
      <c r="A71" s="474"/>
      <c r="B71" s="475"/>
    </row>
    <row r="72" spans="1:2" s="471" customFormat="1" ht="15.75">
      <c r="A72" s="474"/>
      <c r="B72" s="475"/>
    </row>
    <row r="73" spans="1:2" s="471" customFormat="1" ht="15.75">
      <c r="A73" s="474"/>
      <c r="B73" s="475"/>
    </row>
    <row r="74" spans="1:2" s="471" customFormat="1" ht="15.75">
      <c r="A74" s="474"/>
      <c r="B74" s="475"/>
    </row>
    <row r="75" spans="1:2" s="471" customFormat="1" ht="15.75">
      <c r="A75" s="474"/>
      <c r="B75" s="475"/>
    </row>
    <row r="76" spans="1:2" s="471" customFormat="1" ht="15.75">
      <c r="A76" s="474"/>
      <c r="B76" s="475"/>
    </row>
    <row r="77" spans="1:2" s="471" customFormat="1" ht="15.75">
      <c r="A77" s="474"/>
      <c r="B77" s="475"/>
    </row>
    <row r="78" spans="1:2" s="471" customFormat="1" ht="15.75">
      <c r="A78" s="474"/>
      <c r="B78" s="475"/>
    </row>
    <row r="79" spans="1:2" s="471" customFormat="1" ht="15.75">
      <c r="A79" s="474"/>
      <c r="B79" s="475"/>
    </row>
    <row r="80" spans="1:2" s="471" customFormat="1" ht="15.75">
      <c r="A80" s="474"/>
      <c r="B80" s="475"/>
    </row>
    <row r="81" spans="1:2" s="471" customFormat="1" ht="15.75">
      <c r="A81" s="474"/>
      <c r="B81" s="475"/>
    </row>
    <row r="82" spans="1:2" s="471" customFormat="1" ht="15.75">
      <c r="A82" s="474"/>
      <c r="B82" s="475"/>
    </row>
    <row r="83" spans="1:2" s="471" customFormat="1" ht="15.75">
      <c r="A83" s="474"/>
      <c r="B83" s="475"/>
    </row>
    <row r="84" spans="1:2" s="471" customFormat="1" ht="15.75">
      <c r="A84" s="474"/>
      <c r="B84" s="475"/>
    </row>
    <row r="85" spans="1:2" s="471" customFormat="1" ht="15.75">
      <c r="A85" s="474"/>
      <c r="B85" s="475"/>
    </row>
    <row r="86" spans="1:2" s="471" customFormat="1" ht="15.75">
      <c r="A86" s="474"/>
      <c r="B86" s="475"/>
    </row>
    <row r="87" spans="1:2" s="471" customFormat="1" ht="15.75">
      <c r="A87" s="474"/>
      <c r="B87" s="475"/>
    </row>
    <row r="88" spans="1:2" s="471" customFormat="1" ht="15.75">
      <c r="A88" s="474"/>
      <c r="B88" s="475"/>
    </row>
    <row r="89" spans="1:2" s="471" customFormat="1" ht="15.75">
      <c r="A89" s="474"/>
      <c r="B89" s="475"/>
    </row>
    <row r="90" spans="1:2" s="471" customFormat="1" ht="15.75">
      <c r="A90" s="474"/>
      <c r="B90" s="475"/>
    </row>
    <row r="91" spans="1:2" s="471" customFormat="1" ht="15.75">
      <c r="A91" s="474"/>
      <c r="B91" s="475"/>
    </row>
    <row r="92" spans="1:2" s="471" customFormat="1" ht="15.75">
      <c r="A92" s="474"/>
      <c r="B92" s="475"/>
    </row>
    <row r="93" spans="1:2" s="471" customFormat="1" ht="15.75">
      <c r="A93" s="474"/>
      <c r="B93" s="475"/>
    </row>
    <row r="94" spans="1:2" s="471" customFormat="1" ht="15.75">
      <c r="A94" s="474"/>
      <c r="B94" s="475"/>
    </row>
    <row r="95" spans="1:2" s="471" customFormat="1" ht="15.75">
      <c r="A95" s="474"/>
      <c r="B95" s="475"/>
    </row>
    <row r="96" spans="1:2" s="471" customFormat="1" ht="15.75">
      <c r="A96" s="474"/>
      <c r="B96" s="475"/>
    </row>
    <row r="97" spans="1:2" s="471" customFormat="1" ht="15.75">
      <c r="A97" s="474"/>
      <c r="B97" s="475"/>
    </row>
    <row r="98" spans="1:2" s="471" customFormat="1" ht="15.75">
      <c r="A98" s="474"/>
      <c r="B98" s="475"/>
    </row>
    <row r="99" spans="1:2" s="471" customFormat="1" ht="15.75">
      <c r="A99" s="474"/>
      <c r="B99" s="475"/>
    </row>
    <row r="100" spans="1:2" s="471" customFormat="1" ht="15.75">
      <c r="A100" s="474"/>
      <c r="B100" s="475"/>
    </row>
    <row r="101" spans="1:2" s="471" customFormat="1" ht="15.75">
      <c r="A101" s="474"/>
      <c r="B101" s="475"/>
    </row>
    <row r="102" spans="1:2" s="471" customFormat="1" ht="15.75">
      <c r="A102" s="474"/>
      <c r="B102" s="475"/>
    </row>
    <row r="103" spans="1:2" s="471" customFormat="1" ht="15.75">
      <c r="A103" s="474"/>
      <c r="B103" s="475"/>
    </row>
    <row r="104" spans="1:2" s="471" customFormat="1" ht="15.75">
      <c r="A104" s="474"/>
      <c r="B104" s="475"/>
    </row>
    <row r="105" spans="1:2" s="471" customFormat="1" ht="15.75">
      <c r="A105" s="474"/>
      <c r="B105" s="475"/>
    </row>
    <row r="106" spans="1:2" s="471" customFormat="1" ht="15.75">
      <c r="A106" s="474"/>
      <c r="B106" s="475"/>
    </row>
    <row r="107" spans="1:2" s="471" customFormat="1" ht="15.75">
      <c r="A107" s="474"/>
      <c r="B107" s="475"/>
    </row>
    <row r="108" spans="1:2" s="471" customFormat="1" ht="15.75">
      <c r="A108" s="474"/>
      <c r="B108" s="475"/>
    </row>
    <row r="109" spans="1:2" s="471" customFormat="1" ht="15.75">
      <c r="A109" s="474"/>
      <c r="B109" s="475"/>
    </row>
    <row r="110" spans="1:2" s="471" customFormat="1" ht="15.75">
      <c r="A110" s="474"/>
      <c r="B110" s="475"/>
    </row>
    <row r="111" spans="1:2" s="471" customFormat="1" ht="15.75">
      <c r="A111" s="474"/>
      <c r="B111" s="475"/>
    </row>
    <row r="112" spans="1:2" s="471" customFormat="1" ht="15.75">
      <c r="A112" s="474"/>
      <c r="B112" s="475"/>
    </row>
    <row r="113" spans="1:2" s="471" customFormat="1" ht="15.75">
      <c r="A113" s="474"/>
      <c r="B113" s="475"/>
    </row>
    <row r="114" spans="1:2" s="471" customFormat="1" ht="15.75">
      <c r="A114" s="474"/>
      <c r="B114" s="475"/>
    </row>
    <row r="115" spans="1:2" s="471" customFormat="1" ht="15.75">
      <c r="A115" s="474"/>
      <c r="B115" s="475"/>
    </row>
    <row r="116" spans="1:2" s="471" customFormat="1" ht="15.75">
      <c r="A116" s="474"/>
      <c r="B116" s="475"/>
    </row>
    <row r="117" spans="1:2" s="471" customFormat="1" ht="15.75">
      <c r="A117" s="474"/>
      <c r="B117" s="475"/>
    </row>
    <row r="118" spans="1:2" s="471" customFormat="1" ht="15.75">
      <c r="A118" s="474"/>
      <c r="B118" s="475"/>
    </row>
    <row r="119" spans="1:2" s="471" customFormat="1" ht="15.75">
      <c r="A119" s="474"/>
      <c r="B119" s="475"/>
    </row>
    <row r="120" spans="1:2" s="471" customFormat="1" ht="15.75">
      <c r="A120" s="474"/>
      <c r="B120" s="475"/>
    </row>
    <row r="121" spans="1:2" s="471" customFormat="1" ht="15.75">
      <c r="A121" s="474"/>
      <c r="B121" s="475"/>
    </row>
    <row r="122" spans="1:2" s="471" customFormat="1" ht="15.75">
      <c r="A122" s="474"/>
      <c r="B122" s="475"/>
    </row>
    <row r="123" spans="1:2" s="471" customFormat="1" ht="15.75">
      <c r="A123" s="474"/>
      <c r="B123" s="475"/>
    </row>
    <row r="124" spans="1:2" s="471" customFormat="1" ht="15.75">
      <c r="A124" s="474"/>
      <c r="B124" s="475"/>
    </row>
    <row r="125" spans="1:2" s="471" customFormat="1" ht="15.75">
      <c r="A125" s="474"/>
      <c r="B125" s="475"/>
    </row>
    <row r="126" spans="1:2" s="471" customFormat="1" ht="15.75">
      <c r="A126" s="474"/>
      <c r="B126" s="475"/>
    </row>
    <row r="127" spans="1:2" s="471" customFormat="1" ht="15.75">
      <c r="A127" s="474"/>
      <c r="B127" s="475"/>
    </row>
    <row r="128" spans="1:2" s="471" customFormat="1" ht="15.75">
      <c r="A128" s="474"/>
      <c r="B128" s="475"/>
    </row>
    <row r="129" spans="1:2" s="471" customFormat="1" ht="15.75">
      <c r="A129" s="474"/>
      <c r="B129" s="475"/>
    </row>
    <row r="130" spans="1:2" s="471" customFormat="1" ht="15.75">
      <c r="A130" s="474"/>
      <c r="B130" s="475"/>
    </row>
    <row r="131" spans="1:2" s="471" customFormat="1" ht="15.75">
      <c r="A131" s="474"/>
      <c r="B131" s="475"/>
    </row>
    <row r="132" spans="1:2" s="471" customFormat="1" ht="15.75">
      <c r="A132" s="474"/>
      <c r="B132" s="475"/>
    </row>
    <row r="133" spans="1:2" s="471" customFormat="1" ht="15.75">
      <c r="A133" s="474"/>
      <c r="B133" s="475"/>
    </row>
    <row r="134" spans="1:2" s="471" customFormat="1" ht="15.75">
      <c r="A134" s="474"/>
      <c r="B134" s="475"/>
    </row>
    <row r="135" spans="1:2" s="471" customFormat="1" ht="15.75">
      <c r="A135" s="474"/>
      <c r="B135" s="475"/>
    </row>
    <row r="136" spans="1:2" s="471" customFormat="1" ht="15.75">
      <c r="A136" s="474"/>
      <c r="B136" s="475"/>
    </row>
    <row r="137" spans="1:2" s="471" customFormat="1" ht="15.75">
      <c r="A137" s="474"/>
      <c r="B137" s="475"/>
    </row>
    <row r="138" spans="1:2" s="471" customFormat="1" ht="15.75">
      <c r="A138" s="474"/>
      <c r="B138" s="475"/>
    </row>
    <row r="139" spans="1:2" s="471" customFormat="1" ht="15.75">
      <c r="A139" s="474"/>
      <c r="B139" s="475"/>
    </row>
    <row r="140" spans="1:2" s="471" customFormat="1" ht="15.75">
      <c r="A140" s="474"/>
      <c r="B140" s="475"/>
    </row>
    <row r="141" spans="1:2" s="471" customFormat="1" ht="15.75">
      <c r="A141" s="474"/>
      <c r="B141" s="475"/>
    </row>
    <row r="142" spans="1:2" s="471" customFormat="1" ht="15.75">
      <c r="A142" s="474"/>
      <c r="B142" s="475"/>
    </row>
    <row r="143" spans="1:2" s="471" customFormat="1" ht="15.75">
      <c r="A143" s="474"/>
      <c r="B143" s="475"/>
    </row>
    <row r="144" spans="1:2" s="471" customFormat="1" ht="15.75">
      <c r="A144" s="474"/>
      <c r="B144" s="475"/>
    </row>
    <row r="145" spans="1:2" s="471" customFormat="1" ht="15.75">
      <c r="A145" s="474"/>
      <c r="B145" s="475"/>
    </row>
    <row r="146" spans="1:2" s="471" customFormat="1" ht="15.75">
      <c r="A146" s="474"/>
      <c r="B146" s="475"/>
    </row>
    <row r="147" spans="1:2" s="471" customFormat="1" ht="15.75">
      <c r="A147" s="474"/>
      <c r="B147" s="475"/>
    </row>
    <row r="148" spans="1:2" s="471" customFormat="1" ht="15.75">
      <c r="A148" s="474"/>
      <c r="B148" s="475"/>
    </row>
    <row r="149" spans="1:2" s="471" customFormat="1" ht="15.75">
      <c r="A149" s="474"/>
      <c r="B149" s="475"/>
    </row>
    <row r="150" spans="1:2" s="471" customFormat="1" ht="15.75">
      <c r="A150" s="474"/>
      <c r="B150" s="475"/>
    </row>
    <row r="151" spans="1:2" s="471" customFormat="1" ht="15.75">
      <c r="A151" s="474"/>
      <c r="B151" s="475"/>
    </row>
    <row r="152" spans="1:2" s="471" customFormat="1" ht="15.75">
      <c r="A152" s="474"/>
      <c r="B152" s="475"/>
    </row>
    <row r="153" spans="1:2" s="471" customFormat="1" ht="15.75">
      <c r="A153" s="474"/>
      <c r="B153" s="475"/>
    </row>
    <row r="154" spans="1:2" s="471" customFormat="1" ht="15.75">
      <c r="A154" s="474"/>
      <c r="B154" s="475"/>
    </row>
    <row r="155" spans="1:2" s="471" customFormat="1" ht="15.75">
      <c r="A155" s="474"/>
      <c r="B155" s="475"/>
    </row>
    <row r="156" spans="1:2" s="471" customFormat="1" ht="15.75">
      <c r="A156" s="474"/>
      <c r="B156" s="475"/>
    </row>
    <row r="157" spans="1:2" s="471" customFormat="1" ht="15.75">
      <c r="A157" s="474"/>
      <c r="B157" s="475"/>
    </row>
    <row r="158" spans="1:2" s="471" customFormat="1" ht="15.75">
      <c r="A158" s="474"/>
      <c r="B158" s="475"/>
    </row>
    <row r="159" spans="1:2" s="471" customFormat="1" ht="15.75">
      <c r="A159" s="474"/>
      <c r="B159" s="475"/>
    </row>
    <row r="160" spans="1:2" s="471" customFormat="1" ht="15.75">
      <c r="A160" s="474"/>
      <c r="B160" s="475"/>
    </row>
    <row r="161" spans="1:2" s="471" customFormat="1" ht="15.75">
      <c r="A161" s="474"/>
      <c r="B161" s="475"/>
    </row>
    <row r="162" spans="1:2" s="471" customFormat="1" ht="15.75">
      <c r="A162" s="474"/>
      <c r="B162" s="475"/>
    </row>
    <row r="163" spans="1:2" s="471" customFormat="1" ht="15.75">
      <c r="A163" s="474"/>
      <c r="B163" s="475"/>
    </row>
    <row r="164" spans="1:2" s="471" customFormat="1" ht="15.75">
      <c r="A164" s="474"/>
      <c r="B164" s="475"/>
    </row>
    <row r="165" spans="1:2" s="471" customFormat="1" ht="15.75">
      <c r="A165" s="474"/>
      <c r="B165" s="475"/>
    </row>
    <row r="166" spans="1:2" s="471" customFormat="1" ht="15.75">
      <c r="A166" s="474"/>
      <c r="B166" s="475"/>
    </row>
    <row r="167" spans="1:2" s="471" customFormat="1" ht="15.75">
      <c r="A167" s="474"/>
      <c r="B167" s="475"/>
    </row>
    <row r="168" spans="1:2" s="471" customFormat="1" ht="15.75">
      <c r="A168" s="474"/>
      <c r="B168" s="475"/>
    </row>
    <row r="169" spans="1:2" s="471" customFormat="1" ht="15.75">
      <c r="A169" s="474"/>
      <c r="B169" s="475"/>
    </row>
    <row r="170" spans="1:2" s="471" customFormat="1" ht="15.75">
      <c r="A170" s="474"/>
      <c r="B170" s="475"/>
    </row>
    <row r="171" spans="1:2" s="471" customFormat="1" ht="15.75">
      <c r="A171" s="474"/>
      <c r="B171" s="475"/>
    </row>
    <row r="172" spans="1:2" s="471" customFormat="1" ht="15.75">
      <c r="A172" s="474"/>
      <c r="B172" s="475"/>
    </row>
    <row r="173" spans="1:2" s="471" customFormat="1" ht="15.75">
      <c r="A173" s="474"/>
      <c r="B173" s="475"/>
    </row>
    <row r="174" spans="1:2" s="471" customFormat="1" ht="15.75">
      <c r="A174" s="474"/>
      <c r="B174" s="475"/>
    </row>
    <row r="175" spans="1:2" s="471" customFormat="1" ht="15.75">
      <c r="A175" s="474"/>
      <c r="B175" s="475"/>
    </row>
    <row r="176" spans="1:2" s="471" customFormat="1" ht="15.75">
      <c r="A176" s="474"/>
      <c r="B176" s="475"/>
    </row>
    <row r="177" spans="1:2" s="471" customFormat="1" ht="15.75">
      <c r="A177" s="474"/>
      <c r="B177" s="475"/>
    </row>
    <row r="178" spans="1:2" s="471" customFormat="1" ht="15.75">
      <c r="A178" s="474"/>
      <c r="B178" s="475"/>
    </row>
    <row r="179" spans="1:2" s="471" customFormat="1" ht="15.75">
      <c r="A179" s="474"/>
      <c r="B179" s="475"/>
    </row>
    <row r="180" spans="1:2" s="471" customFormat="1" ht="15.75">
      <c r="A180" s="474"/>
      <c r="B180" s="475"/>
    </row>
    <row r="181" spans="1:2" s="471" customFormat="1" ht="15.75">
      <c r="A181" s="474"/>
      <c r="B181" s="475"/>
    </row>
    <row r="182" spans="1:2" s="471" customFormat="1" ht="15.75">
      <c r="A182" s="474"/>
      <c r="B182" s="475"/>
    </row>
    <row r="183" spans="1:2" s="471" customFormat="1" ht="15.75">
      <c r="A183" s="474"/>
      <c r="B183" s="475"/>
    </row>
    <row r="184" spans="1:2" s="471" customFormat="1" ht="15.75">
      <c r="A184" s="474"/>
      <c r="B184" s="475"/>
    </row>
    <row r="185" spans="1:2" s="471" customFormat="1" ht="15.75">
      <c r="A185" s="474"/>
      <c r="B185" s="475"/>
    </row>
    <row r="186" spans="1:2" s="471" customFormat="1" ht="15.75">
      <c r="A186" s="474"/>
      <c r="B186" s="475"/>
    </row>
    <row r="187" spans="1:2" s="471" customFormat="1" ht="15.75">
      <c r="A187" s="474"/>
      <c r="B187" s="475"/>
    </row>
    <row r="188" spans="1:2" s="471" customFormat="1" ht="15.75">
      <c r="A188" s="474"/>
      <c r="B188" s="475"/>
    </row>
    <row r="189" spans="1:2" s="471" customFormat="1" ht="15.75">
      <c r="A189" s="474"/>
      <c r="B189" s="475"/>
    </row>
    <row r="190" spans="1:2" s="471" customFormat="1" ht="15.75">
      <c r="A190" s="474"/>
      <c r="B190" s="475"/>
    </row>
    <row r="191" spans="1:2" s="471" customFormat="1" ht="15.75">
      <c r="A191" s="474"/>
      <c r="B191" s="475"/>
    </row>
    <row r="192" spans="1:2" s="471" customFormat="1" ht="15.75">
      <c r="A192" s="474"/>
      <c r="B192" s="475"/>
    </row>
    <row r="193" spans="1:2" s="471" customFormat="1" ht="15.75">
      <c r="A193" s="474"/>
      <c r="B193" s="475"/>
    </row>
    <row r="194" spans="1:2" s="471" customFormat="1" ht="15.75">
      <c r="A194" s="474"/>
      <c r="B194" s="475"/>
    </row>
    <row r="195" spans="1:2" s="471" customFormat="1" ht="15.75">
      <c r="A195" s="474"/>
      <c r="B195" s="475"/>
    </row>
    <row r="196" spans="1:2" s="471" customFormat="1" ht="15.75">
      <c r="A196" s="474"/>
      <c r="B196" s="475"/>
    </row>
    <row r="197" spans="1:2" s="471" customFormat="1" ht="15.75">
      <c r="A197" s="474"/>
      <c r="B197" s="475"/>
    </row>
    <row r="198" spans="1:2" s="471" customFormat="1" ht="15.75">
      <c r="A198" s="474"/>
      <c r="B198" s="475"/>
    </row>
    <row r="199" spans="1:2" s="471" customFormat="1" ht="15.75">
      <c r="A199" s="474"/>
      <c r="B199" s="475"/>
    </row>
    <row r="200" spans="1:2" s="471" customFormat="1" ht="15.75">
      <c r="A200" s="474"/>
      <c r="B200" s="475"/>
    </row>
    <row r="201" spans="1:2" s="471" customFormat="1" ht="15.75">
      <c r="A201" s="474"/>
      <c r="B201" s="475"/>
    </row>
    <row r="202" spans="1:2" s="471" customFormat="1" ht="15.75">
      <c r="A202" s="474"/>
      <c r="B202" s="475"/>
    </row>
    <row r="203" spans="1:2" s="471" customFormat="1" ht="15.75">
      <c r="A203" s="474"/>
      <c r="B203" s="475"/>
    </row>
    <row r="204" spans="1:2" s="471" customFormat="1" ht="15.75">
      <c r="A204" s="474"/>
      <c r="B204" s="475"/>
    </row>
    <row r="205" spans="1:2" s="471" customFormat="1" ht="15.75">
      <c r="A205" s="474"/>
      <c r="B205" s="475"/>
    </row>
    <row r="206" spans="1:2" s="471" customFormat="1" ht="15.75">
      <c r="A206" s="474"/>
      <c r="B206" s="475"/>
    </row>
    <row r="207" spans="1:2" s="471" customFormat="1" ht="15.75">
      <c r="A207" s="474"/>
      <c r="B207" s="475"/>
    </row>
    <row r="208" spans="1:2" s="471" customFormat="1" ht="15.75">
      <c r="A208" s="474"/>
      <c r="B208" s="475"/>
    </row>
    <row r="209" spans="1:2" s="471" customFormat="1" ht="15.75">
      <c r="A209" s="474"/>
      <c r="B209" s="475"/>
    </row>
    <row r="210" spans="1:2" s="471" customFormat="1" ht="15.75">
      <c r="A210" s="474"/>
      <c r="B210" s="475"/>
    </row>
    <row r="211" spans="1:2" s="471" customFormat="1" ht="15.75">
      <c r="A211" s="474"/>
      <c r="B211" s="475"/>
    </row>
    <row r="212" spans="1:2" s="471" customFormat="1" ht="15.75">
      <c r="A212" s="474"/>
      <c r="B212" s="475"/>
    </row>
    <row r="213" spans="1:2" s="471" customFormat="1" ht="15.75">
      <c r="A213" s="474"/>
      <c r="B213" s="475"/>
    </row>
    <row r="214" spans="1:2" s="471" customFormat="1" ht="15.75">
      <c r="A214" s="474"/>
      <c r="B214" s="475"/>
    </row>
    <row r="215" spans="1:2" s="471" customFormat="1" ht="15.75">
      <c r="A215" s="474"/>
      <c r="B215" s="475"/>
    </row>
    <row r="216" spans="1:2" s="471" customFormat="1" ht="15.75">
      <c r="A216" s="474"/>
      <c r="B216" s="475"/>
    </row>
    <row r="217" spans="1:2" s="471" customFormat="1" ht="15.75">
      <c r="A217" s="474"/>
      <c r="B217" s="475"/>
    </row>
    <row r="218" spans="1:2" s="471" customFormat="1" ht="15.75">
      <c r="A218" s="474"/>
      <c r="B218" s="475"/>
    </row>
    <row r="219" spans="1:2" s="471" customFormat="1" ht="15.75">
      <c r="A219" s="474"/>
      <c r="B219" s="475"/>
    </row>
    <row r="220" spans="1:2" s="471" customFormat="1" ht="15.75">
      <c r="A220" s="474"/>
      <c r="B220" s="475"/>
    </row>
    <row r="221" spans="1:2" s="471" customFormat="1" ht="15.75">
      <c r="A221" s="474"/>
      <c r="B221" s="475"/>
    </row>
    <row r="222" spans="1:2" s="471" customFormat="1" ht="15.75">
      <c r="A222" s="474"/>
      <c r="B222" s="475"/>
    </row>
    <row r="223" spans="1:2" s="471" customFormat="1" ht="15.75">
      <c r="A223" s="474"/>
      <c r="B223" s="475"/>
    </row>
    <row r="224" spans="1:2" s="471" customFormat="1" ht="15.75">
      <c r="A224" s="474"/>
      <c r="B224" s="475"/>
    </row>
    <row r="225" spans="1:2" s="471" customFormat="1" ht="15.75">
      <c r="A225" s="474"/>
      <c r="B225" s="475"/>
    </row>
    <row r="226" spans="1:2" s="471" customFormat="1" ht="15.75">
      <c r="A226" s="474"/>
      <c r="B226" s="475"/>
    </row>
    <row r="227" spans="1:2" s="471" customFormat="1" ht="15.75">
      <c r="A227" s="474"/>
      <c r="B227" s="475"/>
    </row>
    <row r="228" spans="1:2" s="471" customFormat="1" ht="15.75">
      <c r="A228" s="474"/>
      <c r="B228" s="475"/>
    </row>
    <row r="229" spans="1:2" s="471" customFormat="1" ht="15.75">
      <c r="A229" s="474"/>
      <c r="B229" s="475"/>
    </row>
    <row r="230" spans="1:2" s="471" customFormat="1" ht="15.75">
      <c r="A230" s="474"/>
      <c r="B230" s="475"/>
    </row>
    <row r="231" spans="1:2" s="471" customFormat="1" ht="15.75">
      <c r="A231" s="474"/>
      <c r="B231" s="475"/>
    </row>
    <row r="232" spans="1:2" s="471" customFormat="1" ht="15.75">
      <c r="A232" s="474"/>
      <c r="B232" s="475"/>
    </row>
    <row r="233" spans="1:2" s="471" customFormat="1" ht="15.75">
      <c r="A233" s="474"/>
      <c r="B233" s="475"/>
    </row>
    <row r="234" spans="1:2" s="471" customFormat="1" ht="15.75">
      <c r="A234" s="474"/>
      <c r="B234" s="475"/>
    </row>
    <row r="235" spans="1:2" s="471" customFormat="1" ht="15.75">
      <c r="A235" s="474"/>
      <c r="B235" s="475"/>
    </row>
    <row r="236" spans="1:2" s="471" customFormat="1" ht="15.75">
      <c r="A236" s="474"/>
      <c r="B236" s="475"/>
    </row>
    <row r="237" spans="1:2" s="471" customFormat="1" ht="15.75">
      <c r="A237" s="474"/>
      <c r="B237" s="475"/>
    </row>
    <row r="238" spans="1:2" s="471" customFormat="1" ht="15.75">
      <c r="A238" s="474"/>
      <c r="B238" s="475"/>
    </row>
    <row r="239" spans="1:2" s="471" customFormat="1" ht="15.75">
      <c r="A239" s="474"/>
      <c r="B239" s="475"/>
    </row>
    <row r="240" spans="1:2" s="471" customFormat="1" ht="15.75">
      <c r="A240" s="474"/>
      <c r="B240" s="475"/>
    </row>
    <row r="241" spans="1:2" s="471" customFormat="1" ht="15.75">
      <c r="A241" s="474"/>
      <c r="B241" s="475"/>
    </row>
    <row r="242" spans="1:2" s="471" customFormat="1" ht="15.75">
      <c r="A242" s="474"/>
      <c r="B242" s="475"/>
    </row>
    <row r="243" spans="1:2" s="471" customFormat="1" ht="15.75">
      <c r="A243" s="474"/>
      <c r="B243" s="475"/>
    </row>
    <row r="244" spans="1:2" s="471" customFormat="1" ht="15.75">
      <c r="A244" s="474"/>
      <c r="B244" s="475"/>
    </row>
    <row r="245" spans="1:2" s="471" customFormat="1" ht="15.75">
      <c r="A245" s="474"/>
      <c r="B245" s="475"/>
    </row>
    <row r="246" spans="1:2" s="471" customFormat="1" ht="15.75">
      <c r="A246" s="474"/>
      <c r="B246" s="475"/>
    </row>
    <row r="247" spans="1:2" s="471" customFormat="1" ht="15.75">
      <c r="A247" s="474"/>
      <c r="B247" s="475"/>
    </row>
    <row r="248" spans="1:2" s="471" customFormat="1" ht="15.75">
      <c r="A248" s="474"/>
      <c r="B248" s="475"/>
    </row>
    <row r="249" spans="1:2" s="471" customFormat="1" ht="15.75">
      <c r="A249" s="474"/>
      <c r="B249" s="475"/>
    </row>
    <row r="250" spans="1:2" s="471" customFormat="1" ht="15.75">
      <c r="A250" s="474"/>
      <c r="B250" s="475"/>
    </row>
    <row r="251" spans="1:2" s="471" customFormat="1" ht="15.75">
      <c r="A251" s="474"/>
      <c r="B251" s="475"/>
    </row>
    <row r="252" spans="1:2" s="471" customFormat="1" ht="15.75">
      <c r="A252" s="474"/>
      <c r="B252" s="475"/>
    </row>
    <row r="253" spans="1:2" s="471" customFormat="1" ht="15.75">
      <c r="A253" s="474"/>
      <c r="B253" s="475"/>
    </row>
    <row r="254" spans="1:2" s="471" customFormat="1" ht="15.75">
      <c r="A254" s="474"/>
      <c r="B254" s="475"/>
    </row>
    <row r="255" spans="1:2" s="471" customFormat="1" ht="15.75">
      <c r="A255" s="474"/>
      <c r="B255" s="475"/>
    </row>
    <row r="256" spans="1:2" s="471" customFormat="1" ht="15.75">
      <c r="A256" s="474"/>
      <c r="B256" s="475"/>
    </row>
    <row r="257" spans="1:2" s="471" customFormat="1" ht="15.75">
      <c r="A257" s="474"/>
      <c r="B257" s="475"/>
    </row>
    <row r="258" spans="1:2" s="471" customFormat="1" ht="15.75">
      <c r="A258" s="474"/>
      <c r="B258" s="475"/>
    </row>
    <row r="259" spans="1:2" s="471" customFormat="1" ht="15.75">
      <c r="A259" s="474"/>
      <c r="B259" s="475"/>
    </row>
    <row r="260" spans="1:2" s="471" customFormat="1" ht="15.75">
      <c r="A260" s="474"/>
      <c r="B260" s="475"/>
    </row>
    <row r="261" spans="1:2" s="471" customFormat="1" ht="15.75">
      <c r="A261" s="474"/>
      <c r="B261" s="475"/>
    </row>
    <row r="262" spans="1:2" s="471" customFormat="1" ht="15.75">
      <c r="A262" s="474"/>
      <c r="B262" s="475"/>
    </row>
    <row r="263" spans="1:2" s="471" customFormat="1" ht="15.75">
      <c r="A263" s="474"/>
      <c r="B263" s="475"/>
    </row>
    <row r="264" spans="1:2" s="471" customFormat="1" ht="15.75">
      <c r="A264" s="474"/>
      <c r="B264" s="475"/>
    </row>
    <row r="265" spans="1:2" s="471" customFormat="1" ht="15.75">
      <c r="A265" s="474"/>
      <c r="B265" s="475"/>
    </row>
    <row r="266" spans="1:2" s="471" customFormat="1" ht="15.75">
      <c r="A266" s="474"/>
      <c r="B266" s="475"/>
    </row>
    <row r="267" spans="1:2" s="471" customFormat="1" ht="15.75">
      <c r="A267" s="474"/>
      <c r="B267" s="475"/>
    </row>
    <row r="268" spans="1:2" s="471" customFormat="1" ht="15.75">
      <c r="A268" s="474"/>
      <c r="B268" s="475"/>
    </row>
    <row r="269" spans="1:2" s="471" customFormat="1" ht="15.75">
      <c r="A269" s="474"/>
      <c r="B269" s="475"/>
    </row>
    <row r="270" spans="1:2" s="471" customFormat="1" ht="15.75">
      <c r="A270" s="474"/>
      <c r="B270" s="475"/>
    </row>
    <row r="271" spans="1:2" s="471" customFormat="1" ht="15.75">
      <c r="A271" s="474"/>
      <c r="B271" s="475"/>
    </row>
    <row r="272" spans="1:2" s="471" customFormat="1" ht="15.75">
      <c r="A272" s="474"/>
      <c r="B272" s="475"/>
    </row>
    <row r="273" spans="1:2" s="471" customFormat="1" ht="15.75">
      <c r="A273" s="474"/>
      <c r="B273" s="475"/>
    </row>
    <row r="274" spans="1:2" s="471" customFormat="1" ht="15.75">
      <c r="A274" s="474"/>
      <c r="B274" s="475"/>
    </row>
    <row r="275" spans="1:2" s="471" customFormat="1" ht="15.75">
      <c r="A275" s="474"/>
      <c r="B275" s="475"/>
    </row>
    <row r="276" spans="1:2" s="471" customFormat="1" ht="15.75">
      <c r="A276" s="474"/>
      <c r="B276" s="475"/>
    </row>
    <row r="277" spans="1:2" s="471" customFormat="1" ht="15.75">
      <c r="A277" s="474"/>
      <c r="B277" s="475"/>
    </row>
    <row r="278" spans="1:2" s="471" customFormat="1" ht="15.75">
      <c r="A278" s="474"/>
      <c r="B278" s="475"/>
    </row>
    <row r="279" spans="1:2" s="471" customFormat="1" ht="15.75">
      <c r="A279" s="474"/>
      <c r="B279" s="475"/>
    </row>
    <row r="280" spans="1:2" s="471" customFormat="1" ht="15.75">
      <c r="A280" s="474"/>
      <c r="B280" s="475"/>
    </row>
    <row r="281" spans="1:2" s="471" customFormat="1" ht="15.75">
      <c r="A281" s="474"/>
      <c r="B281" s="475"/>
    </row>
    <row r="282" spans="1:2" s="471" customFormat="1" ht="15.75">
      <c r="A282" s="474"/>
      <c r="B282" s="475"/>
    </row>
    <row r="283" spans="1:2" s="471" customFormat="1" ht="15.75">
      <c r="A283" s="474"/>
      <c r="B283" s="475"/>
    </row>
    <row r="284" spans="1:2" s="471" customFormat="1" ht="15.75">
      <c r="A284" s="474"/>
      <c r="B284" s="475"/>
    </row>
    <row r="285" spans="1:2" s="471" customFormat="1" ht="15.75">
      <c r="A285" s="474"/>
      <c r="B285" s="475"/>
    </row>
    <row r="286" spans="1:2" s="471" customFormat="1" ht="15.75">
      <c r="A286" s="474"/>
      <c r="B286" s="475"/>
    </row>
    <row r="287" spans="1:2" s="471" customFormat="1" ht="15.75">
      <c r="A287" s="474"/>
      <c r="B287" s="475"/>
    </row>
    <row r="288" spans="1:2" s="471" customFormat="1" ht="15.75">
      <c r="A288" s="474"/>
      <c r="B288" s="475"/>
    </row>
    <row r="289" spans="1:2" s="471" customFormat="1" ht="15.75">
      <c r="A289" s="474"/>
      <c r="B289" s="475"/>
    </row>
    <row r="290" spans="1:2" s="471" customFormat="1" ht="15.75">
      <c r="A290" s="474"/>
      <c r="B290" s="475"/>
    </row>
    <row r="291" spans="1:2" s="471" customFormat="1" ht="15.75">
      <c r="A291" s="474"/>
      <c r="B291" s="475"/>
    </row>
    <row r="292" spans="1:2" s="471" customFormat="1" ht="15.75">
      <c r="A292" s="474"/>
      <c r="B292" s="475"/>
    </row>
    <row r="293" spans="1:2" s="471" customFormat="1" ht="15.75">
      <c r="A293" s="474"/>
      <c r="B293" s="475"/>
    </row>
    <row r="294" spans="1:2" s="471" customFormat="1" ht="15.75">
      <c r="A294" s="474"/>
      <c r="B294" s="475"/>
    </row>
    <row r="295" spans="1:2" s="471" customFormat="1" ht="15.75">
      <c r="A295" s="474"/>
      <c r="B295" s="475"/>
    </row>
    <row r="296" spans="1:2" s="471" customFormat="1" ht="15.75">
      <c r="A296" s="474"/>
      <c r="B296" s="475"/>
    </row>
    <row r="297" spans="1:2" s="471" customFormat="1" ht="15.75">
      <c r="A297" s="474"/>
      <c r="B297" s="475"/>
    </row>
    <row r="298" spans="1:2" s="471" customFormat="1" ht="15.75">
      <c r="A298" s="474"/>
      <c r="B298" s="475"/>
    </row>
    <row r="299" spans="1:2" s="471" customFormat="1" ht="15.75">
      <c r="A299" s="474"/>
      <c r="B299" s="475"/>
    </row>
    <row r="300" spans="1:2" s="471" customFormat="1" ht="15.75">
      <c r="A300" s="474"/>
      <c r="B300" s="475"/>
    </row>
    <row r="301" spans="1:2" s="471" customFormat="1" ht="15.75">
      <c r="A301" s="474"/>
      <c r="B301" s="475"/>
    </row>
    <row r="302" spans="1:2" s="471" customFormat="1" ht="15.75">
      <c r="A302" s="474"/>
      <c r="B302" s="475"/>
    </row>
    <row r="303" spans="1:2" s="471" customFormat="1" ht="15.75">
      <c r="A303" s="474"/>
      <c r="B303" s="475"/>
    </row>
    <row r="304" spans="1:2" s="471" customFormat="1" ht="15.75">
      <c r="A304" s="474"/>
      <c r="B304" s="475"/>
    </row>
    <row r="305" spans="1:2" s="471" customFormat="1" ht="15.75">
      <c r="A305" s="474"/>
      <c r="B305" s="475"/>
    </row>
    <row r="306" spans="1:2" s="471" customFormat="1" ht="15.75">
      <c r="B306" s="475"/>
    </row>
    <row r="307" spans="1:2" s="471" customFormat="1" ht="15.75">
      <c r="B307" s="475"/>
    </row>
    <row r="308" spans="1:2" s="471" customFormat="1" ht="15.75">
      <c r="B308" s="475"/>
    </row>
    <row r="309" spans="1:2" s="471" customFormat="1" ht="15.75">
      <c r="B309" s="475"/>
    </row>
    <row r="310" spans="1:2" s="471" customFormat="1" ht="15.75">
      <c r="B310" s="475"/>
    </row>
    <row r="311" spans="1:2" s="471" customFormat="1" ht="15.75">
      <c r="B311" s="475"/>
    </row>
    <row r="312" spans="1:2" s="471" customFormat="1" ht="15.75">
      <c r="B312" s="475"/>
    </row>
    <row r="313" spans="1:2" s="471" customFormat="1" ht="15.75">
      <c r="B313" s="475"/>
    </row>
    <row r="314" spans="1:2" s="471" customFormat="1" ht="15.75">
      <c r="B314" s="475"/>
    </row>
    <row r="315" spans="1:2" s="471" customFormat="1" ht="15.75">
      <c r="B315" s="475"/>
    </row>
    <row r="316" spans="1:2" s="471" customFormat="1" ht="15.75">
      <c r="B316" s="475"/>
    </row>
    <row r="317" spans="1:2" s="471" customFormat="1" ht="15.75">
      <c r="B317" s="475"/>
    </row>
    <row r="318" spans="1:2" s="471" customFormat="1" ht="15.75">
      <c r="B318" s="475"/>
    </row>
    <row r="319" spans="1:2" s="471" customFormat="1" ht="15.75">
      <c r="B319" s="475"/>
    </row>
    <row r="320" spans="1:2" s="471" customFormat="1" ht="15.75">
      <c r="B320" s="475"/>
    </row>
    <row r="321" spans="2:2" s="471" customFormat="1" ht="15.75">
      <c r="B321" s="475"/>
    </row>
    <row r="322" spans="2:2" s="471" customFormat="1" ht="15.75">
      <c r="B322" s="475"/>
    </row>
    <row r="323" spans="2:2" s="471" customFormat="1" ht="15.75">
      <c r="B323" s="475"/>
    </row>
    <row r="324" spans="2:2" s="471" customFormat="1" ht="15.75">
      <c r="B324" s="475"/>
    </row>
    <row r="325" spans="2:2" s="471" customFormat="1" ht="15.75">
      <c r="B325" s="475"/>
    </row>
    <row r="326" spans="2:2" s="471" customFormat="1" ht="15.75">
      <c r="B326" s="475"/>
    </row>
    <row r="327" spans="2:2" s="471" customFormat="1" ht="15.75">
      <c r="B327" s="475"/>
    </row>
    <row r="328" spans="2:2" s="471" customFormat="1" ht="15.75">
      <c r="B328" s="475"/>
    </row>
    <row r="329" spans="2:2" s="471" customFormat="1" ht="15.75">
      <c r="B329" s="475"/>
    </row>
    <row r="330" spans="2:2" s="471" customFormat="1" ht="15.75">
      <c r="B330" s="475"/>
    </row>
    <row r="331" spans="2:2" s="471" customFormat="1" ht="15.75">
      <c r="B331" s="475"/>
    </row>
    <row r="332" spans="2:2" s="471" customFormat="1" ht="15.75">
      <c r="B332" s="475"/>
    </row>
    <row r="333" spans="2:2" s="471" customFormat="1" ht="15.75">
      <c r="B333" s="475"/>
    </row>
    <row r="334" spans="2:2" s="471" customFormat="1" ht="15.75">
      <c r="B334" s="475"/>
    </row>
    <row r="335" spans="2:2" s="471" customFormat="1" ht="15.75">
      <c r="B335" s="475"/>
    </row>
    <row r="336" spans="2:2" s="471" customFormat="1" ht="15.75">
      <c r="B336" s="475"/>
    </row>
    <row r="337" spans="2:2" s="471" customFormat="1" ht="15.75">
      <c r="B337" s="475"/>
    </row>
    <row r="338" spans="2:2" s="471" customFormat="1" ht="15.75">
      <c r="B338" s="475"/>
    </row>
    <row r="339" spans="2:2" s="471" customFormat="1" ht="15.75">
      <c r="B339" s="475"/>
    </row>
    <row r="340" spans="2:2" s="471" customFormat="1" ht="15.75">
      <c r="B340" s="475"/>
    </row>
    <row r="341" spans="2:2" s="471" customFormat="1" ht="15.75">
      <c r="B341" s="475"/>
    </row>
    <row r="342" spans="2:2" s="471" customFormat="1" ht="15.75">
      <c r="B342" s="475"/>
    </row>
    <row r="343" spans="2:2" s="471" customFormat="1" ht="15.75">
      <c r="B343" s="475"/>
    </row>
    <row r="344" spans="2:2" s="471" customFormat="1" ht="15.75">
      <c r="B344" s="475"/>
    </row>
    <row r="345" spans="2:2" s="471" customFormat="1" ht="15.75">
      <c r="B345" s="475"/>
    </row>
    <row r="346" spans="2:2" s="471" customFormat="1" ht="15.75">
      <c r="B346" s="475"/>
    </row>
    <row r="347" spans="2:2" s="471" customFormat="1" ht="15.75">
      <c r="B347" s="475"/>
    </row>
    <row r="348" spans="2:2" s="471" customFormat="1" ht="15.75">
      <c r="B348" s="475"/>
    </row>
    <row r="349" spans="2:2" s="471" customFormat="1" ht="15.75">
      <c r="B349" s="475"/>
    </row>
    <row r="350" spans="2:2" s="471" customFormat="1" ht="15.75">
      <c r="B350" s="475"/>
    </row>
    <row r="351" spans="2:2" s="471" customFormat="1" ht="15.75">
      <c r="B351" s="475"/>
    </row>
    <row r="352" spans="2:2" s="471" customFormat="1" ht="15.75">
      <c r="B352" s="475"/>
    </row>
    <row r="353" spans="2:2" s="471" customFormat="1" ht="15.75">
      <c r="B353" s="475"/>
    </row>
    <row r="354" spans="2:2" s="471" customFormat="1" ht="15.75">
      <c r="B354" s="475"/>
    </row>
    <row r="355" spans="2:2" s="471" customFormat="1" ht="15.75">
      <c r="B355" s="475"/>
    </row>
    <row r="356" spans="2:2" s="471" customFormat="1" ht="15.75">
      <c r="B356" s="475"/>
    </row>
    <row r="357" spans="2:2" s="471" customFormat="1" ht="15.75">
      <c r="B357" s="475"/>
    </row>
    <row r="358" spans="2:2" s="471" customFormat="1" ht="15.75">
      <c r="B358" s="475"/>
    </row>
    <row r="359" spans="2:2" s="471" customFormat="1" ht="15.75">
      <c r="B359" s="475"/>
    </row>
    <row r="360" spans="2:2" s="471" customFormat="1" ht="15.75">
      <c r="B360" s="475"/>
    </row>
    <row r="361" spans="2:2" s="471" customFormat="1" ht="15.75">
      <c r="B361" s="475"/>
    </row>
    <row r="362" spans="2:2" s="471" customFormat="1" ht="15.75">
      <c r="B362" s="475"/>
    </row>
    <row r="363" spans="2:2" s="471" customFormat="1" ht="15.75">
      <c r="B363" s="475"/>
    </row>
    <row r="364" spans="2:2" s="471" customFormat="1" ht="15.75">
      <c r="B364" s="475"/>
    </row>
    <row r="365" spans="2:2" s="471" customFormat="1" ht="15.75">
      <c r="B365" s="475"/>
    </row>
    <row r="366" spans="2:2" s="471" customFormat="1" ht="15.75">
      <c r="B366" s="475"/>
    </row>
    <row r="367" spans="2:2" s="471" customFormat="1" ht="15.75">
      <c r="B367" s="475"/>
    </row>
    <row r="368" spans="2:2" s="471" customFormat="1" ht="15.75">
      <c r="B368" s="475"/>
    </row>
    <row r="369" spans="2:2" s="471" customFormat="1" ht="15.75">
      <c r="B369" s="475"/>
    </row>
    <row r="370" spans="2:2" s="471" customFormat="1" ht="15.75">
      <c r="B370" s="475"/>
    </row>
    <row r="371" spans="2:2" s="471" customFormat="1" ht="15.75">
      <c r="B371" s="475"/>
    </row>
    <row r="372" spans="2:2" s="471" customFormat="1" ht="15.75">
      <c r="B372" s="475"/>
    </row>
    <row r="373" spans="2:2" s="471" customFormat="1" ht="15.75">
      <c r="B373" s="475"/>
    </row>
    <row r="374" spans="2:2" s="471" customFormat="1" ht="15.75">
      <c r="B374" s="475"/>
    </row>
    <row r="375" spans="2:2" s="471" customFormat="1" ht="15.75">
      <c r="B375" s="475"/>
    </row>
    <row r="376" spans="2:2" s="471" customFormat="1" ht="15.75">
      <c r="B376" s="475"/>
    </row>
    <row r="377" spans="2:2" s="471" customFormat="1" ht="15.75">
      <c r="B377" s="475"/>
    </row>
    <row r="378" spans="2:2" s="471" customFormat="1" ht="15.75">
      <c r="B378" s="475"/>
    </row>
    <row r="379" spans="2:2" s="471" customFormat="1" ht="15.75">
      <c r="B379" s="475"/>
    </row>
    <row r="380" spans="2:2" s="471" customFormat="1" ht="15.75">
      <c r="B380" s="475"/>
    </row>
    <row r="381" spans="2:2" s="471" customFormat="1" ht="15.75">
      <c r="B381" s="475"/>
    </row>
    <row r="382" spans="2:2" s="471" customFormat="1" ht="15.75">
      <c r="B382" s="475"/>
    </row>
    <row r="383" spans="2:2" s="471" customFormat="1" ht="15.75">
      <c r="B383" s="475"/>
    </row>
    <row r="384" spans="2:2" s="471" customFormat="1" ht="15.75">
      <c r="B384" s="475"/>
    </row>
    <row r="385" spans="2:2" s="471" customFormat="1" ht="15.75">
      <c r="B385" s="475"/>
    </row>
    <row r="386" spans="2:2" s="471" customFormat="1" ht="15.75">
      <c r="B386" s="475"/>
    </row>
    <row r="387" spans="2:2" s="471" customFormat="1" ht="15.75">
      <c r="B387" s="475"/>
    </row>
    <row r="388" spans="2:2" s="471" customFormat="1" ht="15.75">
      <c r="B388" s="475"/>
    </row>
    <row r="389" spans="2:2" s="471" customFormat="1" ht="15.75">
      <c r="B389" s="475"/>
    </row>
    <row r="390" spans="2:2" s="471" customFormat="1" ht="15.75">
      <c r="B390" s="475"/>
    </row>
    <row r="391" spans="2:2" s="471" customFormat="1" ht="15.75">
      <c r="B391" s="475"/>
    </row>
    <row r="392" spans="2:2" s="471" customFormat="1" ht="15.75">
      <c r="B392" s="475"/>
    </row>
    <row r="393" spans="2:2" s="471" customFormat="1" ht="15.75">
      <c r="B393" s="475"/>
    </row>
    <row r="394" spans="2:2" s="471" customFormat="1" ht="15.75">
      <c r="B394" s="475"/>
    </row>
    <row r="395" spans="2:2" s="471" customFormat="1" ht="15.75">
      <c r="B395" s="475"/>
    </row>
    <row r="396" spans="2:2" s="471" customFormat="1" ht="15.75">
      <c r="B396" s="475"/>
    </row>
    <row r="397" spans="2:2" s="471" customFormat="1" ht="15.75">
      <c r="B397" s="475"/>
    </row>
    <row r="398" spans="2:2" s="471" customFormat="1" ht="15.75">
      <c r="B398" s="475"/>
    </row>
    <row r="399" spans="2:2" s="471" customFormat="1" ht="15.75">
      <c r="B399" s="475"/>
    </row>
    <row r="400" spans="2:2" s="471" customFormat="1" ht="15.75">
      <c r="B400" s="475"/>
    </row>
    <row r="401" spans="2:2" s="471" customFormat="1" ht="15.75">
      <c r="B401" s="475"/>
    </row>
    <row r="402" spans="2:2" s="471" customFormat="1" ht="15.75">
      <c r="B402" s="475"/>
    </row>
    <row r="403" spans="2:2" s="471" customFormat="1" ht="15.75">
      <c r="B403" s="475"/>
    </row>
    <row r="404" spans="2:2" s="471" customFormat="1" ht="15.75">
      <c r="B404" s="475"/>
    </row>
    <row r="405" spans="2:2" s="471" customFormat="1" ht="15.75">
      <c r="B405" s="475"/>
    </row>
    <row r="406" spans="2:2" s="471" customFormat="1" ht="15.75">
      <c r="B406" s="475"/>
    </row>
    <row r="407" spans="2:2" s="471" customFormat="1" ht="15.75">
      <c r="B407" s="475"/>
    </row>
    <row r="408" spans="2:2" s="471" customFormat="1" ht="15.75">
      <c r="B408" s="475"/>
    </row>
    <row r="409" spans="2:2" s="471" customFormat="1" ht="15.75">
      <c r="B409" s="475"/>
    </row>
    <row r="410" spans="2:2" s="471" customFormat="1" ht="15.75">
      <c r="B410" s="475"/>
    </row>
    <row r="411" spans="2:2" s="471" customFormat="1" ht="15.75">
      <c r="B411" s="475"/>
    </row>
    <row r="412" spans="2:2" s="471" customFormat="1" ht="15.75">
      <c r="B412" s="475"/>
    </row>
    <row r="413" spans="2:2" s="471" customFormat="1" ht="15.75">
      <c r="B413" s="475"/>
    </row>
    <row r="414" spans="2:2" s="471" customFormat="1" ht="15.75">
      <c r="B414" s="475"/>
    </row>
    <row r="415" spans="2:2" s="471" customFormat="1" ht="15.75">
      <c r="B415" s="475"/>
    </row>
    <row r="416" spans="2:2" s="471" customFormat="1" ht="15.75">
      <c r="B416" s="475"/>
    </row>
    <row r="417" spans="2:2" s="471" customFormat="1" ht="15.75">
      <c r="B417" s="475"/>
    </row>
    <row r="418" spans="2:2" s="471" customFormat="1" ht="15.75">
      <c r="B418" s="475"/>
    </row>
    <row r="419" spans="2:2" s="471" customFormat="1" ht="15.75">
      <c r="B419" s="475"/>
    </row>
    <row r="420" spans="2:2" s="471" customFormat="1" ht="15.75">
      <c r="B420" s="475"/>
    </row>
    <row r="421" spans="2:2" s="471" customFormat="1" ht="15.75">
      <c r="B421" s="475"/>
    </row>
    <row r="422" spans="2:2" s="471" customFormat="1" ht="15.75">
      <c r="B422" s="475"/>
    </row>
    <row r="423" spans="2:2" s="471" customFormat="1" ht="15.75">
      <c r="B423" s="475"/>
    </row>
    <row r="424" spans="2:2" s="471" customFormat="1" ht="15.75">
      <c r="B424" s="475"/>
    </row>
    <row r="425" spans="2:2" s="471" customFormat="1" ht="15.75">
      <c r="B425" s="475"/>
    </row>
    <row r="426" spans="2:2" s="471" customFormat="1" ht="15.75">
      <c r="B426" s="475"/>
    </row>
    <row r="427" spans="2:2" s="471" customFormat="1" ht="15.75">
      <c r="B427" s="475"/>
    </row>
    <row r="428" spans="2:2" s="471" customFormat="1" ht="15.75">
      <c r="B428" s="475"/>
    </row>
    <row r="429" spans="2:2" s="471" customFormat="1" ht="15.75">
      <c r="B429" s="475"/>
    </row>
    <row r="430" spans="2:2" s="471" customFormat="1" ht="15.75">
      <c r="B430" s="475"/>
    </row>
    <row r="431" spans="2:2" s="471" customFormat="1" ht="15.75">
      <c r="B431" s="475"/>
    </row>
    <row r="432" spans="2:2" s="471" customFormat="1" ht="15.75">
      <c r="B432" s="475"/>
    </row>
    <row r="433" spans="2:2" s="471" customFormat="1" ht="15.75">
      <c r="B433" s="475"/>
    </row>
    <row r="434" spans="2:2" s="471" customFormat="1" ht="15.75">
      <c r="B434" s="475"/>
    </row>
    <row r="435" spans="2:2" s="471" customFormat="1" ht="15.75">
      <c r="B435" s="475"/>
    </row>
    <row r="436" spans="2:2" s="471" customFormat="1" ht="15.75">
      <c r="B436" s="475"/>
    </row>
    <row r="437" spans="2:2" s="471" customFormat="1" ht="15.75">
      <c r="B437" s="475"/>
    </row>
    <row r="438" spans="2:2" s="471" customFormat="1" ht="15.75">
      <c r="B438" s="475"/>
    </row>
    <row r="439" spans="2:2" s="471" customFormat="1" ht="15.75">
      <c r="B439" s="475"/>
    </row>
    <row r="440" spans="2:2" s="471" customFormat="1" ht="15.75">
      <c r="B440" s="475"/>
    </row>
    <row r="441" spans="2:2" s="471" customFormat="1" ht="15.75">
      <c r="B441" s="475"/>
    </row>
    <row r="442" spans="2:2" s="471" customFormat="1" ht="15.75">
      <c r="B442" s="475"/>
    </row>
    <row r="443" spans="2:2" s="471" customFormat="1" ht="15.75">
      <c r="B443" s="475"/>
    </row>
    <row r="444" spans="2:2" s="471" customFormat="1" ht="15.75">
      <c r="B444" s="475"/>
    </row>
    <row r="445" spans="2:2" s="471" customFormat="1" ht="15.75">
      <c r="B445" s="475"/>
    </row>
    <row r="446" spans="2:2" s="471" customFormat="1" ht="15.75">
      <c r="B446" s="475"/>
    </row>
    <row r="447" spans="2:2" s="471" customFormat="1" ht="15.75">
      <c r="B447" s="475"/>
    </row>
    <row r="448" spans="2:2" s="471" customFormat="1" ht="15.75">
      <c r="B448" s="475"/>
    </row>
    <row r="449" spans="2:2" s="471" customFormat="1" ht="15.75">
      <c r="B449" s="475"/>
    </row>
    <row r="450" spans="2:2" s="471" customFormat="1" ht="15.75">
      <c r="B450" s="475"/>
    </row>
    <row r="451" spans="2:2" s="471" customFormat="1" ht="15.75">
      <c r="B451" s="475"/>
    </row>
    <row r="452" spans="2:2" s="471" customFormat="1" ht="15.75">
      <c r="B452" s="475"/>
    </row>
    <row r="453" spans="2:2" s="471" customFormat="1" ht="15.75">
      <c r="B453" s="475"/>
    </row>
    <row r="454" spans="2:2" s="471" customFormat="1" ht="15.75">
      <c r="B454" s="475"/>
    </row>
    <row r="455" spans="2:2" s="471" customFormat="1" ht="15.75">
      <c r="B455" s="475"/>
    </row>
    <row r="456" spans="2:2" s="471" customFormat="1" ht="15.75">
      <c r="B456" s="475"/>
    </row>
    <row r="457" spans="2:2" s="471" customFormat="1" ht="15.75">
      <c r="B457" s="475"/>
    </row>
    <row r="458" spans="2:2" s="471" customFormat="1" ht="15.75">
      <c r="B458" s="475"/>
    </row>
    <row r="459" spans="2:2" s="471" customFormat="1" ht="15.75">
      <c r="B459" s="475"/>
    </row>
    <row r="460" spans="2:2" s="471" customFormat="1" ht="15.75">
      <c r="B460" s="475"/>
    </row>
    <row r="461" spans="2:2" s="471" customFormat="1" ht="15.75">
      <c r="B461" s="475"/>
    </row>
    <row r="462" spans="2:2" s="471" customFormat="1" ht="15.75">
      <c r="B462" s="475"/>
    </row>
    <row r="463" spans="2:2" s="471" customFormat="1" ht="15.75">
      <c r="B463" s="475"/>
    </row>
    <row r="464" spans="2:2" s="471" customFormat="1" ht="15.75">
      <c r="B464" s="475"/>
    </row>
    <row r="465" spans="2:2" s="471" customFormat="1" ht="15.75">
      <c r="B465" s="475"/>
    </row>
    <row r="466" spans="2:2" s="471" customFormat="1" ht="15.75">
      <c r="B466" s="475"/>
    </row>
    <row r="467" spans="2:2" s="471" customFormat="1" ht="15.75">
      <c r="B467" s="475"/>
    </row>
    <row r="468" spans="2:2" s="471" customFormat="1" ht="15.75">
      <c r="B468" s="475"/>
    </row>
    <row r="469" spans="2:2" s="471" customFormat="1" ht="15.75">
      <c r="B469" s="475"/>
    </row>
    <row r="470" spans="2:2" s="471" customFormat="1" ht="15.75">
      <c r="B470" s="475"/>
    </row>
    <row r="471" spans="2:2" s="471" customFormat="1" ht="15.75">
      <c r="B471" s="475"/>
    </row>
    <row r="472" spans="2:2" s="471" customFormat="1" ht="15.75">
      <c r="B472" s="475"/>
    </row>
    <row r="473" spans="2:2" s="471" customFormat="1" ht="15.75">
      <c r="B473" s="475"/>
    </row>
    <row r="474" spans="2:2" s="471" customFormat="1" ht="15.75">
      <c r="B474" s="475"/>
    </row>
    <row r="475" spans="2:2" s="471" customFormat="1" ht="15.75">
      <c r="B475" s="475"/>
    </row>
    <row r="476" spans="2:2" s="471" customFormat="1" ht="15.75">
      <c r="B476" s="475"/>
    </row>
    <row r="477" spans="2:2" s="471" customFormat="1" ht="15.75">
      <c r="B477" s="475"/>
    </row>
    <row r="478" spans="2:2" s="471" customFormat="1" ht="15.75">
      <c r="B478" s="475"/>
    </row>
    <row r="479" spans="2:2" s="471" customFormat="1" ht="15.75">
      <c r="B479" s="475"/>
    </row>
    <row r="480" spans="2:2" s="471" customFormat="1" ht="15.75">
      <c r="B480" s="475"/>
    </row>
    <row r="481" spans="2:2" s="471" customFormat="1" ht="15.75">
      <c r="B481" s="475"/>
    </row>
    <row r="482" spans="2:2" s="471" customFormat="1" ht="15.75">
      <c r="B482" s="475"/>
    </row>
    <row r="483" spans="2:2" s="471" customFormat="1" ht="15.75">
      <c r="B483" s="475"/>
    </row>
    <row r="484" spans="2:2" s="471" customFormat="1" ht="15.75">
      <c r="B484" s="475"/>
    </row>
    <row r="485" spans="2:2" s="471" customFormat="1" ht="15.75">
      <c r="B485" s="475"/>
    </row>
    <row r="486" spans="2:2" s="471" customFormat="1" ht="15.75">
      <c r="B486" s="475"/>
    </row>
    <row r="487" spans="2:2" s="471" customFormat="1" ht="15.75">
      <c r="B487" s="475"/>
    </row>
    <row r="488" spans="2:2" s="471" customFormat="1" ht="15.75">
      <c r="B488" s="475"/>
    </row>
    <row r="489" spans="2:2" s="471" customFormat="1" ht="15.75">
      <c r="B489" s="475"/>
    </row>
    <row r="490" spans="2:2" s="471" customFormat="1" ht="15.75">
      <c r="B490" s="475"/>
    </row>
    <row r="491" spans="2:2" s="471" customFormat="1" ht="15.75">
      <c r="B491" s="475"/>
    </row>
    <row r="492" spans="2:2" s="471" customFormat="1" ht="15.75">
      <c r="B492" s="475"/>
    </row>
    <row r="493" spans="2:2" s="471" customFormat="1" ht="15.75">
      <c r="B493" s="475"/>
    </row>
    <row r="494" spans="2:2" s="471" customFormat="1" ht="15.75">
      <c r="B494" s="475"/>
    </row>
    <row r="495" spans="2:2" s="471" customFormat="1" ht="15.75">
      <c r="B495" s="475"/>
    </row>
    <row r="496" spans="2:2" s="471" customFormat="1" ht="15.75">
      <c r="B496" s="475"/>
    </row>
    <row r="497" spans="2:2" s="471" customFormat="1" ht="15.75">
      <c r="B497" s="475"/>
    </row>
    <row r="498" spans="2:2" s="471" customFormat="1" ht="15.75">
      <c r="B498" s="475"/>
    </row>
    <row r="499" spans="2:2" s="471" customFormat="1" ht="15.75">
      <c r="B499" s="475"/>
    </row>
    <row r="500" spans="2:2" s="471" customFormat="1" ht="15.75">
      <c r="B500" s="475"/>
    </row>
    <row r="501" spans="2:2" s="471" customFormat="1" ht="15.75">
      <c r="B501" s="475"/>
    </row>
    <row r="502" spans="2:2" s="471" customFormat="1" ht="15.75">
      <c r="B502" s="475"/>
    </row>
    <row r="503" spans="2:2" s="471" customFormat="1" ht="15.75">
      <c r="B503" s="475"/>
    </row>
    <row r="504" spans="2:2" s="471" customFormat="1" ht="15.75">
      <c r="B504" s="475"/>
    </row>
    <row r="505" spans="2:2" s="471" customFormat="1" ht="15.75">
      <c r="B505" s="475"/>
    </row>
    <row r="506" spans="2:2" s="471" customFormat="1" ht="15.75">
      <c r="B506" s="475"/>
    </row>
    <row r="507" spans="2:2" s="471" customFormat="1" ht="15.75">
      <c r="B507" s="475"/>
    </row>
    <row r="508" spans="2:2" s="471" customFormat="1" ht="15.75">
      <c r="B508" s="475"/>
    </row>
    <row r="509" spans="2:2" s="471" customFormat="1" ht="15.75">
      <c r="B509" s="475"/>
    </row>
    <row r="510" spans="2:2" s="471" customFormat="1" ht="15.75">
      <c r="B510" s="475"/>
    </row>
    <row r="511" spans="2:2" s="471" customFormat="1" ht="15.75">
      <c r="B511" s="475"/>
    </row>
    <row r="512" spans="2:2" s="471" customFormat="1" ht="15.75">
      <c r="B512" s="475"/>
    </row>
    <row r="513" spans="2:2" s="471" customFormat="1" ht="15.75">
      <c r="B513" s="475"/>
    </row>
    <row r="514" spans="2:2" s="471" customFormat="1" ht="15.75">
      <c r="B514" s="475"/>
    </row>
    <row r="515" spans="2:2" s="471" customFormat="1" ht="15.75">
      <c r="B515" s="475"/>
    </row>
    <row r="516" spans="2:2" s="471" customFormat="1" ht="15.75">
      <c r="B516" s="475"/>
    </row>
    <row r="517" spans="2:2" s="471" customFormat="1" ht="15.75">
      <c r="B517" s="475"/>
    </row>
    <row r="518" spans="2:2" s="471" customFormat="1" ht="15.75">
      <c r="B518" s="475"/>
    </row>
    <row r="519" spans="2:2" s="471" customFormat="1" ht="15.75">
      <c r="B519" s="475"/>
    </row>
    <row r="520" spans="2:2" s="471" customFormat="1" ht="15.75">
      <c r="B520" s="475"/>
    </row>
    <row r="521" spans="2:2" s="471" customFormat="1" ht="15.75">
      <c r="B521" s="475"/>
    </row>
    <row r="522" spans="2:2" s="471" customFormat="1" ht="15.75">
      <c r="B522" s="475"/>
    </row>
    <row r="523" spans="2:2" s="471" customFormat="1" ht="15.75">
      <c r="B523" s="475"/>
    </row>
    <row r="524" spans="2:2" s="471" customFormat="1" ht="15.75">
      <c r="B524" s="475"/>
    </row>
    <row r="525" spans="2:2" s="471" customFormat="1" ht="15.75">
      <c r="B525" s="475"/>
    </row>
    <row r="526" spans="2:2" s="471" customFormat="1" ht="15.75">
      <c r="B526" s="475"/>
    </row>
    <row r="527" spans="2:2" s="471" customFormat="1" ht="15.75">
      <c r="B527" s="475"/>
    </row>
    <row r="528" spans="2:2" s="471" customFormat="1" ht="15.75">
      <c r="B528" s="475"/>
    </row>
    <row r="529" spans="2:2" s="471" customFormat="1" ht="15.75">
      <c r="B529" s="475"/>
    </row>
    <row r="530" spans="2:2" s="471" customFormat="1" ht="15.75">
      <c r="B530" s="475"/>
    </row>
    <row r="531" spans="2:2" s="471" customFormat="1" ht="15.75">
      <c r="B531" s="475"/>
    </row>
    <row r="532" spans="2:2" s="471" customFormat="1" ht="15.75">
      <c r="B532" s="475"/>
    </row>
    <row r="533" spans="2:2" s="471" customFormat="1" ht="15.75">
      <c r="B533" s="475"/>
    </row>
    <row r="534" spans="2:2" s="471" customFormat="1" ht="15.75">
      <c r="B534" s="475"/>
    </row>
    <row r="535" spans="2:2" s="471" customFormat="1" ht="15.75">
      <c r="B535" s="475"/>
    </row>
    <row r="536" spans="2:2" s="471" customFormat="1" ht="15.75">
      <c r="B536" s="475"/>
    </row>
    <row r="537" spans="2:2" s="471" customFormat="1" ht="15.75">
      <c r="B537" s="475"/>
    </row>
    <row r="538" spans="2:2" s="471" customFormat="1" ht="15.75">
      <c r="B538" s="475"/>
    </row>
    <row r="539" spans="2:2" s="471" customFormat="1" ht="15.75">
      <c r="B539" s="475"/>
    </row>
    <row r="540" spans="2:2" s="471" customFormat="1" ht="15.75">
      <c r="B540" s="475"/>
    </row>
    <row r="541" spans="2:2" s="471" customFormat="1" ht="15.75">
      <c r="B541" s="475"/>
    </row>
    <row r="542" spans="2:2" s="471" customFormat="1" ht="15.75">
      <c r="B542" s="475"/>
    </row>
    <row r="543" spans="2:2" s="471" customFormat="1" ht="15.75">
      <c r="B543" s="475"/>
    </row>
    <row r="544" spans="2:2" s="471" customFormat="1" ht="15.75">
      <c r="B544" s="475"/>
    </row>
    <row r="545" spans="2:2" s="471" customFormat="1" ht="15.75">
      <c r="B545" s="475"/>
    </row>
    <row r="546" spans="2:2" s="471" customFormat="1" ht="15.75">
      <c r="B546" s="475"/>
    </row>
    <row r="547" spans="2:2" s="471" customFormat="1" ht="15.75">
      <c r="B547" s="475"/>
    </row>
    <row r="548" spans="2:2" s="471" customFormat="1" ht="15.75">
      <c r="B548" s="475"/>
    </row>
    <row r="549" spans="2:2" s="471" customFormat="1" ht="15.75">
      <c r="B549" s="475"/>
    </row>
    <row r="550" spans="2:2" s="471" customFormat="1" ht="15.75">
      <c r="B550" s="475"/>
    </row>
    <row r="551" spans="2:2" s="471" customFormat="1" ht="15.75">
      <c r="B551" s="475"/>
    </row>
    <row r="552" spans="2:2" s="471" customFormat="1" ht="15.75">
      <c r="B552" s="475"/>
    </row>
    <row r="553" spans="2:2" s="471" customFormat="1" ht="15.75">
      <c r="B553" s="475"/>
    </row>
    <row r="554" spans="2:2" s="471" customFormat="1" ht="15.75">
      <c r="B554" s="475"/>
    </row>
    <row r="555" spans="2:2" s="471" customFormat="1" ht="15.75">
      <c r="B555" s="475"/>
    </row>
    <row r="556" spans="2:2" s="471" customFormat="1" ht="15.75">
      <c r="B556" s="475"/>
    </row>
    <row r="557" spans="2:2" s="471" customFormat="1" ht="15.75">
      <c r="B557" s="475"/>
    </row>
    <row r="558" spans="2:2" s="471" customFormat="1" ht="15.75">
      <c r="B558" s="475"/>
    </row>
    <row r="559" spans="2:2" s="471" customFormat="1" ht="15.75">
      <c r="B559" s="475"/>
    </row>
    <row r="560" spans="2:2" s="471" customFormat="1" ht="15.75">
      <c r="B560" s="475"/>
    </row>
    <row r="561" spans="2:2" s="471" customFormat="1" ht="15.75">
      <c r="B561" s="475"/>
    </row>
    <row r="562" spans="2:2" s="471" customFormat="1" ht="15.75">
      <c r="B562" s="475"/>
    </row>
    <row r="563" spans="2:2" s="471" customFormat="1" ht="15.75">
      <c r="B563" s="475"/>
    </row>
    <row r="564" spans="2:2" s="471" customFormat="1" ht="15.75">
      <c r="B564" s="475"/>
    </row>
    <row r="565" spans="2:2" s="471" customFormat="1" ht="15.75">
      <c r="B565" s="475"/>
    </row>
    <row r="566" spans="2:2" s="471" customFormat="1" ht="15.75">
      <c r="B566" s="475"/>
    </row>
    <row r="567" spans="2:2" s="471" customFormat="1" ht="15.75">
      <c r="B567" s="475"/>
    </row>
    <row r="568" spans="2:2" s="471" customFormat="1" ht="15.75">
      <c r="B568" s="475"/>
    </row>
    <row r="569" spans="2:2" s="471" customFormat="1" ht="15.75">
      <c r="B569" s="475"/>
    </row>
    <row r="570" spans="2:2" s="471" customFormat="1" ht="15.75">
      <c r="B570" s="475"/>
    </row>
    <row r="571" spans="2:2" s="471" customFormat="1" ht="15.75">
      <c r="B571" s="475"/>
    </row>
    <row r="572" spans="2:2" s="471" customFormat="1" ht="15.75">
      <c r="B572" s="475"/>
    </row>
    <row r="573" spans="2:2" s="471" customFormat="1" ht="15.75">
      <c r="B573" s="475"/>
    </row>
    <row r="574" spans="2:2" s="471" customFormat="1" ht="15.75">
      <c r="B574" s="475"/>
    </row>
    <row r="575" spans="2:2" s="471" customFormat="1" ht="15.75">
      <c r="B575" s="475"/>
    </row>
    <row r="576" spans="2:2" s="471" customFormat="1" ht="15.75">
      <c r="B576" s="475"/>
    </row>
    <row r="577" spans="2:2" s="471" customFormat="1" ht="15.75">
      <c r="B577" s="475"/>
    </row>
    <row r="578" spans="2:2" s="471" customFormat="1" ht="15.75">
      <c r="B578" s="475"/>
    </row>
    <row r="579" spans="2:2" s="471" customFormat="1" ht="15.75">
      <c r="B579" s="475"/>
    </row>
    <row r="580" spans="2:2" s="471" customFormat="1" ht="15.75">
      <c r="B580" s="475"/>
    </row>
    <row r="581" spans="2:2" s="471" customFormat="1" ht="15.75">
      <c r="B581" s="475"/>
    </row>
    <row r="582" spans="2:2" s="471" customFormat="1" ht="15.75">
      <c r="B582" s="475"/>
    </row>
    <row r="583" spans="2:2" s="471" customFormat="1" ht="15.75">
      <c r="B583" s="475"/>
    </row>
    <row r="584" spans="2:2" s="471" customFormat="1" ht="15.75">
      <c r="B584" s="475"/>
    </row>
    <row r="585" spans="2:2" s="471" customFormat="1" ht="15.75">
      <c r="B585" s="475"/>
    </row>
    <row r="586" spans="2:2" s="471" customFormat="1" ht="15.75">
      <c r="B586" s="475"/>
    </row>
    <row r="587" spans="2:2" s="471" customFormat="1" ht="15.75">
      <c r="B587" s="475"/>
    </row>
    <row r="588" spans="2:2" s="471" customFormat="1" ht="15.75">
      <c r="B588" s="475"/>
    </row>
    <row r="589" spans="2:2" s="471" customFormat="1" ht="15.75">
      <c r="B589" s="475"/>
    </row>
    <row r="590" spans="2:2" s="471" customFormat="1" ht="15.75">
      <c r="B590" s="475"/>
    </row>
    <row r="591" spans="2:2" s="471" customFormat="1" ht="15.75">
      <c r="B591" s="475"/>
    </row>
    <row r="592" spans="2:2" s="471" customFormat="1" ht="15.75">
      <c r="B592" s="475"/>
    </row>
    <row r="593" spans="2:2" s="471" customFormat="1" ht="15.75">
      <c r="B593" s="475"/>
    </row>
    <row r="594" spans="2:2" s="471" customFormat="1" ht="15.75">
      <c r="B594" s="475"/>
    </row>
    <row r="595" spans="2:2" s="471" customFormat="1" ht="15.75">
      <c r="B595" s="475"/>
    </row>
    <row r="596" spans="2:2" s="471" customFormat="1" ht="15.75">
      <c r="B596" s="475"/>
    </row>
    <row r="597" spans="2:2" s="471" customFormat="1" ht="15.75">
      <c r="B597" s="475"/>
    </row>
    <row r="598" spans="2:2" s="471" customFormat="1" ht="15.75">
      <c r="B598" s="475"/>
    </row>
    <row r="599" spans="2:2" s="471" customFormat="1" ht="15.75">
      <c r="B599" s="475"/>
    </row>
    <row r="600" spans="2:2" s="471" customFormat="1" ht="15.75">
      <c r="B600" s="475"/>
    </row>
    <row r="601" spans="2:2" s="471" customFormat="1" ht="15.75">
      <c r="B601" s="475"/>
    </row>
    <row r="602" spans="2:2" s="471" customFormat="1" ht="15.75">
      <c r="B602" s="475"/>
    </row>
    <row r="603" spans="2:2" s="471" customFormat="1" ht="15.75">
      <c r="B603" s="475"/>
    </row>
    <row r="604" spans="2:2" s="471" customFormat="1" ht="15.75">
      <c r="B604" s="475"/>
    </row>
    <row r="605" spans="2:2" s="471" customFormat="1" ht="15.75">
      <c r="B605" s="475"/>
    </row>
    <row r="606" spans="2:2" s="471" customFormat="1" ht="15.75">
      <c r="B606" s="475"/>
    </row>
    <row r="607" spans="2:2" s="471" customFormat="1" ht="15.75">
      <c r="B607" s="475"/>
    </row>
    <row r="608" spans="2:2" s="471" customFormat="1" ht="15.75">
      <c r="B608" s="475"/>
    </row>
    <row r="609" spans="2:2" s="471" customFormat="1" ht="15.75">
      <c r="B609" s="475"/>
    </row>
    <row r="610" spans="2:2" s="471" customFormat="1" ht="15.75">
      <c r="B610" s="475"/>
    </row>
    <row r="611" spans="2:2" s="471" customFormat="1" ht="15.75">
      <c r="B611" s="475"/>
    </row>
    <row r="612" spans="2:2" s="471" customFormat="1" ht="15.75">
      <c r="B612" s="475"/>
    </row>
    <row r="613" spans="2:2" s="471" customFormat="1" ht="15.75">
      <c r="B613" s="475"/>
    </row>
    <row r="614" spans="2:2" s="471" customFormat="1" ht="15.75">
      <c r="B614" s="475"/>
    </row>
    <row r="615" spans="2:2" s="471" customFormat="1" ht="15.75">
      <c r="B615" s="475"/>
    </row>
    <row r="616" spans="2:2" s="471" customFormat="1" ht="15.75">
      <c r="B616" s="475"/>
    </row>
    <row r="617" spans="2:2" s="471" customFormat="1" ht="15.75">
      <c r="B617" s="475"/>
    </row>
    <row r="618" spans="2:2" s="471" customFormat="1" ht="15.75">
      <c r="B618" s="475"/>
    </row>
    <row r="619" spans="2:2" s="471" customFormat="1" ht="15.75">
      <c r="B619" s="475"/>
    </row>
    <row r="620" spans="2:2" s="471" customFormat="1" ht="15.75">
      <c r="B620" s="475"/>
    </row>
    <row r="621" spans="2:2" s="471" customFormat="1" ht="15.75">
      <c r="B621" s="475"/>
    </row>
    <row r="622" spans="2:2" s="471" customFormat="1" ht="15.75">
      <c r="B622" s="475"/>
    </row>
    <row r="623" spans="2:2" s="471" customFormat="1" ht="15.75">
      <c r="B623" s="475"/>
    </row>
    <row r="624" spans="2:2" s="471" customFormat="1" ht="15.75">
      <c r="B624" s="475"/>
    </row>
    <row r="625" spans="2:2" s="471" customFormat="1" ht="15.75">
      <c r="B625" s="475"/>
    </row>
    <row r="626" spans="2:2" s="471" customFormat="1" ht="15.75">
      <c r="B626" s="475"/>
    </row>
    <row r="627" spans="2:2" s="471" customFormat="1" ht="15.75">
      <c r="B627" s="475"/>
    </row>
    <row r="628" spans="2:2" s="471" customFormat="1" ht="15.75">
      <c r="B628" s="475"/>
    </row>
    <row r="629" spans="2:2" s="471" customFormat="1" ht="15.75">
      <c r="B629" s="475"/>
    </row>
    <row r="630" spans="2:2" s="471" customFormat="1" ht="15.75">
      <c r="B630" s="475"/>
    </row>
    <row r="631" spans="2:2" s="471" customFormat="1" ht="15.75">
      <c r="B631" s="475"/>
    </row>
    <row r="632" spans="2:2" s="471" customFormat="1" ht="15.75">
      <c r="B632" s="475"/>
    </row>
    <row r="633" spans="2:2" s="471" customFormat="1" ht="15.75">
      <c r="B633" s="475"/>
    </row>
    <row r="634" spans="2:2" s="471" customFormat="1" ht="15.75">
      <c r="B634" s="475"/>
    </row>
    <row r="635" spans="2:2" s="471" customFormat="1" ht="15.75">
      <c r="B635" s="475"/>
    </row>
    <row r="636" spans="2:2" s="471" customFormat="1" ht="15.75">
      <c r="B636" s="475"/>
    </row>
    <row r="637" spans="2:2" s="471" customFormat="1" ht="15.75">
      <c r="B637" s="475"/>
    </row>
    <row r="638" spans="2:2" s="471" customFormat="1" ht="15.75">
      <c r="B638" s="475"/>
    </row>
    <row r="639" spans="2:2" s="471" customFormat="1" ht="15.75">
      <c r="B639" s="475"/>
    </row>
    <row r="640" spans="2:2" s="471" customFormat="1" ht="15.75">
      <c r="B640" s="475"/>
    </row>
    <row r="641" spans="2:2" s="471" customFormat="1" ht="15.75">
      <c r="B641" s="475"/>
    </row>
    <row r="642" spans="2:2" s="471" customFormat="1" ht="15.75">
      <c r="B642" s="475"/>
    </row>
    <row r="643" spans="2:2" s="471" customFormat="1" ht="15.75">
      <c r="B643" s="475"/>
    </row>
    <row r="644" spans="2:2" s="471" customFormat="1" ht="15.75">
      <c r="B644" s="475"/>
    </row>
    <row r="645" spans="2:2" s="471" customFormat="1" ht="15.75">
      <c r="B645" s="475"/>
    </row>
    <row r="646" spans="2:2" s="471" customFormat="1" ht="15.75">
      <c r="B646" s="475"/>
    </row>
    <row r="647" spans="2:2" s="471" customFormat="1" ht="15.75">
      <c r="B647" s="475"/>
    </row>
    <row r="648" spans="2:2" s="471" customFormat="1" ht="15.75">
      <c r="B648" s="475"/>
    </row>
    <row r="649" spans="2:2" s="471" customFormat="1" ht="15.75">
      <c r="B649" s="475"/>
    </row>
    <row r="650" spans="2:2" s="471" customFormat="1" ht="15.75">
      <c r="B650" s="475"/>
    </row>
    <row r="651" spans="2:2" s="471" customFormat="1" ht="15.75">
      <c r="B651" s="475"/>
    </row>
    <row r="652" spans="2:2" s="471" customFormat="1" ht="15.75">
      <c r="B652" s="475"/>
    </row>
    <row r="653" spans="2:2" s="471" customFormat="1" ht="15.75">
      <c r="B653" s="475"/>
    </row>
    <row r="654" spans="2:2" s="471" customFormat="1" ht="15.75">
      <c r="B654" s="475"/>
    </row>
    <row r="655" spans="2:2" s="471" customFormat="1" ht="15.75">
      <c r="B655" s="475"/>
    </row>
    <row r="656" spans="2:2" s="471" customFormat="1" ht="15.75">
      <c r="B656" s="475"/>
    </row>
    <row r="657" spans="2:2" s="471" customFormat="1" ht="15.75">
      <c r="B657" s="475"/>
    </row>
    <row r="658" spans="2:2" s="471" customFormat="1" ht="15.75">
      <c r="B658" s="475"/>
    </row>
    <row r="659" spans="2:2" s="471" customFormat="1" ht="15.75">
      <c r="B659" s="475"/>
    </row>
    <row r="660" spans="2:2" s="471" customFormat="1" ht="15.75">
      <c r="B660" s="475"/>
    </row>
    <row r="661" spans="2:2" s="471" customFormat="1" ht="15.75">
      <c r="B661" s="475"/>
    </row>
    <row r="662" spans="2:2" s="471" customFormat="1" ht="15.75">
      <c r="B662" s="475"/>
    </row>
    <row r="663" spans="2:2" s="471" customFormat="1" ht="15.75">
      <c r="B663" s="475"/>
    </row>
    <row r="664" spans="2:2" s="471" customFormat="1" ht="15.75">
      <c r="B664" s="475"/>
    </row>
    <row r="665" spans="2:2" s="471" customFormat="1" ht="15.75">
      <c r="B665" s="475"/>
    </row>
    <row r="666" spans="2:2" s="471" customFormat="1" ht="15.75">
      <c r="B666" s="475"/>
    </row>
    <row r="667" spans="2:2" s="471" customFormat="1" ht="15.75">
      <c r="B667" s="475"/>
    </row>
    <row r="668" spans="2:2" s="471" customFormat="1" ht="15.75">
      <c r="B668" s="475"/>
    </row>
    <row r="669" spans="2:2" s="471" customFormat="1" ht="15.75">
      <c r="B669" s="475"/>
    </row>
    <row r="670" spans="2:2" s="471" customFormat="1" ht="15.75">
      <c r="B670" s="475"/>
    </row>
    <row r="671" spans="2:2" s="471" customFormat="1" ht="15.75">
      <c r="B671" s="475"/>
    </row>
    <row r="672" spans="2:2" s="471" customFormat="1" ht="15.75">
      <c r="B672" s="475"/>
    </row>
    <row r="673" spans="2:2" s="471" customFormat="1" ht="15.75">
      <c r="B673" s="475"/>
    </row>
    <row r="674" spans="2:2" s="471" customFormat="1" ht="15.75">
      <c r="B674" s="475"/>
    </row>
    <row r="675" spans="2:2" s="471" customFormat="1" ht="15.75">
      <c r="B675" s="475"/>
    </row>
    <row r="676" spans="2:2" s="471" customFormat="1" ht="15.75">
      <c r="B676" s="475"/>
    </row>
    <row r="677" spans="2:2" s="471" customFormat="1" ht="15.75">
      <c r="B677" s="475"/>
    </row>
    <row r="678" spans="2:2" s="471" customFormat="1" ht="15.75">
      <c r="B678" s="475"/>
    </row>
    <row r="679" spans="2:2" s="471" customFormat="1" ht="15.75">
      <c r="B679" s="475"/>
    </row>
    <row r="680" spans="2:2" s="471" customFormat="1" ht="15.75">
      <c r="B680" s="475"/>
    </row>
    <row r="681" spans="2:2" s="471" customFormat="1" ht="15.75">
      <c r="B681" s="475"/>
    </row>
    <row r="682" spans="2:2" s="471" customFormat="1" ht="15.75">
      <c r="B682" s="475"/>
    </row>
    <row r="683" spans="2:2" s="471" customFormat="1" ht="15.75">
      <c r="B683" s="475"/>
    </row>
    <row r="684" spans="2:2" s="471" customFormat="1" ht="15.75">
      <c r="B684" s="475"/>
    </row>
    <row r="685" spans="2:2" s="471" customFormat="1" ht="15.75">
      <c r="B685" s="475"/>
    </row>
    <row r="686" spans="2:2" s="471" customFormat="1" ht="15.75">
      <c r="B686" s="475"/>
    </row>
    <row r="687" spans="2:2" s="471" customFormat="1" ht="15.75">
      <c r="B687" s="475"/>
    </row>
    <row r="688" spans="2:2" s="471" customFormat="1" ht="15.75">
      <c r="B688" s="475"/>
    </row>
    <row r="689" spans="2:2" s="471" customFormat="1" ht="15.75">
      <c r="B689" s="475"/>
    </row>
    <row r="690" spans="2:2" s="471" customFormat="1" ht="15.75">
      <c r="B690" s="475"/>
    </row>
    <row r="691" spans="2:2" s="471" customFormat="1" ht="15.75">
      <c r="B691" s="475"/>
    </row>
    <row r="692" spans="2:2" s="471" customFormat="1" ht="15.75">
      <c r="B692" s="475"/>
    </row>
    <row r="693" spans="2:2" s="471" customFormat="1" ht="15.75">
      <c r="B693" s="475"/>
    </row>
    <row r="694" spans="2:2" s="471" customFormat="1" ht="15.75">
      <c r="B694" s="475"/>
    </row>
    <row r="695" spans="2:2" s="471" customFormat="1" ht="15.75">
      <c r="B695" s="475"/>
    </row>
    <row r="696" spans="2:2" s="471" customFormat="1" ht="15.75">
      <c r="B696" s="475"/>
    </row>
    <row r="697" spans="2:2" s="471" customFormat="1" ht="15.75">
      <c r="B697" s="475"/>
    </row>
    <row r="698" spans="2:2" s="471" customFormat="1" ht="15.75">
      <c r="B698" s="475"/>
    </row>
    <row r="699" spans="2:2" s="471" customFormat="1" ht="15.75">
      <c r="B699" s="475"/>
    </row>
    <row r="700" spans="2:2" s="471" customFormat="1" ht="15.75">
      <c r="B700" s="475"/>
    </row>
    <row r="701" spans="2:2" s="471" customFormat="1" ht="15.75">
      <c r="B701" s="475"/>
    </row>
    <row r="702" spans="2:2" s="471" customFormat="1" ht="15.75">
      <c r="B702" s="475"/>
    </row>
    <row r="703" spans="2:2" s="471" customFormat="1" ht="15.75">
      <c r="B703" s="475"/>
    </row>
    <row r="704" spans="2:2" s="471" customFormat="1" ht="15.75">
      <c r="B704" s="475"/>
    </row>
    <row r="705" spans="2:2" s="471" customFormat="1" ht="15.75">
      <c r="B705" s="475"/>
    </row>
    <row r="706" spans="2:2" s="471" customFormat="1" ht="15.75">
      <c r="B706" s="475"/>
    </row>
    <row r="707" spans="2:2" s="471" customFormat="1" ht="15.75">
      <c r="B707" s="475"/>
    </row>
    <row r="708" spans="2:2" s="471" customFormat="1" ht="15.75">
      <c r="B708" s="475"/>
    </row>
    <row r="709" spans="2:2" s="471" customFormat="1" ht="15.75">
      <c r="B709" s="475"/>
    </row>
    <row r="710" spans="2:2" s="471" customFormat="1" ht="15.75">
      <c r="B710" s="475"/>
    </row>
    <row r="711" spans="2:2" s="471" customFormat="1" ht="15.75">
      <c r="B711" s="475"/>
    </row>
    <row r="712" spans="2:2" s="471" customFormat="1" ht="15.75">
      <c r="B712" s="475"/>
    </row>
    <row r="713" spans="2:2" s="471" customFormat="1" ht="15.75">
      <c r="B713" s="475"/>
    </row>
    <row r="714" spans="2:2" s="471" customFormat="1" ht="15.75">
      <c r="B714" s="475"/>
    </row>
    <row r="715" spans="2:2" s="471" customFormat="1" ht="15.75">
      <c r="B715" s="475"/>
    </row>
    <row r="716" spans="2:2" s="471" customFormat="1" ht="15.75">
      <c r="B716" s="475"/>
    </row>
    <row r="717" spans="2:2" s="471" customFormat="1" ht="15.75">
      <c r="B717" s="475"/>
    </row>
    <row r="718" spans="2:2" s="471" customFormat="1" ht="15.75">
      <c r="B718" s="475"/>
    </row>
    <row r="719" spans="2:2" s="471" customFormat="1" ht="15.75">
      <c r="B719" s="475"/>
    </row>
    <row r="720" spans="2:2" s="471" customFormat="1" ht="15.75">
      <c r="B720" s="475"/>
    </row>
    <row r="721" spans="2:2" s="471" customFormat="1" ht="15.75">
      <c r="B721" s="475"/>
    </row>
    <row r="722" spans="2:2" s="471" customFormat="1" ht="15.75">
      <c r="B722" s="475"/>
    </row>
    <row r="723" spans="2:2" s="471" customFormat="1" ht="15.75">
      <c r="B723" s="475"/>
    </row>
    <row r="724" spans="2:2" s="471" customFormat="1" ht="15.75">
      <c r="B724" s="475"/>
    </row>
    <row r="725" spans="2:2" s="471" customFormat="1" ht="15.75">
      <c r="B725" s="475"/>
    </row>
    <row r="726" spans="2:2" s="471" customFormat="1" ht="15.75">
      <c r="B726" s="475"/>
    </row>
    <row r="727" spans="2:2" s="471" customFormat="1" ht="15.75">
      <c r="B727" s="475"/>
    </row>
    <row r="728" spans="2:2" s="471" customFormat="1" ht="15.75">
      <c r="B728" s="475"/>
    </row>
    <row r="729" spans="2:2" s="471" customFormat="1" ht="15.75">
      <c r="B729" s="475"/>
    </row>
    <row r="730" spans="2:2" s="471" customFormat="1" ht="15.75">
      <c r="B730" s="475"/>
    </row>
    <row r="731" spans="2:2" s="471" customFormat="1" ht="15.75">
      <c r="B731" s="475"/>
    </row>
    <row r="732" spans="2:2" s="471" customFormat="1" ht="15.75">
      <c r="B732" s="475"/>
    </row>
    <row r="733" spans="2:2" s="471" customFormat="1" ht="15.75">
      <c r="B733" s="475"/>
    </row>
    <row r="734" spans="2:2" s="471" customFormat="1" ht="15.75">
      <c r="B734" s="475"/>
    </row>
    <row r="735" spans="2:2" s="471" customFormat="1" ht="15.75">
      <c r="B735" s="475"/>
    </row>
    <row r="736" spans="2:2" s="471" customFormat="1" ht="15.75">
      <c r="B736" s="475"/>
    </row>
    <row r="737" spans="2:2" s="471" customFormat="1" ht="15.75">
      <c r="B737" s="475"/>
    </row>
    <row r="738" spans="2:2" s="471" customFormat="1" ht="15.75">
      <c r="B738" s="475"/>
    </row>
    <row r="739" spans="2:2" s="471" customFormat="1" ht="15.75">
      <c r="B739" s="475"/>
    </row>
    <row r="740" spans="2:2" s="471" customFormat="1" ht="15.75">
      <c r="B740" s="475"/>
    </row>
    <row r="741" spans="2:2" s="471" customFormat="1" ht="15.75">
      <c r="B741" s="475"/>
    </row>
    <row r="742" spans="2:2" s="471" customFormat="1" ht="15.75">
      <c r="B742" s="475"/>
    </row>
    <row r="743" spans="2:2" s="471" customFormat="1" ht="15.75">
      <c r="B743" s="475"/>
    </row>
    <row r="744" spans="2:2" s="471" customFormat="1" ht="15.75">
      <c r="B744" s="475"/>
    </row>
    <row r="745" spans="2:2" s="471" customFormat="1" ht="15.75">
      <c r="B745" s="475"/>
    </row>
    <row r="746" spans="2:2" s="471" customFormat="1" ht="15.75">
      <c r="B746" s="475"/>
    </row>
    <row r="747" spans="2:2" s="471" customFormat="1" ht="15.75">
      <c r="B747" s="475"/>
    </row>
    <row r="748" spans="2:2" s="471" customFormat="1" ht="15.75">
      <c r="B748" s="475"/>
    </row>
    <row r="749" spans="2:2" s="471" customFormat="1" ht="15.75">
      <c r="B749" s="475"/>
    </row>
    <row r="750" spans="2:2" s="471" customFormat="1" ht="15.75">
      <c r="B750" s="475"/>
    </row>
    <row r="751" spans="2:2" s="471" customFormat="1" ht="15.75">
      <c r="B751" s="475"/>
    </row>
    <row r="752" spans="2:2" s="471" customFormat="1" ht="15.75">
      <c r="B752" s="475"/>
    </row>
    <row r="753" spans="2:2" s="471" customFormat="1" ht="15.75">
      <c r="B753" s="475"/>
    </row>
  </sheetData>
  <pageMargins left="0.5" right="0.5" top="0.5" bottom="0.5" header="0.3" footer="0.3"/>
  <pageSetup scale="8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  <pageSetUpPr fitToPage="1"/>
  </sheetPr>
  <dimension ref="A1:BJ278"/>
  <sheetViews>
    <sheetView showGridLines="0" zoomScale="60" zoomScaleNormal="60" zoomScalePageLayoutView="70" workbookViewId="0">
      <selection activeCell="M106" sqref="M106"/>
    </sheetView>
  </sheetViews>
  <sheetFormatPr defaultColWidth="14.85546875" defaultRowHeight="15.75"/>
  <cols>
    <col min="1" max="1" width="14.85546875" style="2"/>
    <col min="2" max="2" width="52.140625" style="2" bestFit="1" customWidth="1"/>
    <col min="3" max="3" width="14.85546875" style="2" hidden="1" customWidth="1"/>
    <col min="4" max="4" width="14.85546875" style="1283" hidden="1" customWidth="1"/>
    <col min="5" max="5" width="14.85546875" style="2" customWidth="1"/>
    <col min="6" max="6" width="14.85546875" style="1283" customWidth="1"/>
    <col min="7" max="7" width="14.85546875" style="2" customWidth="1"/>
    <col min="8" max="8" width="14.85546875" style="1283" customWidth="1"/>
    <col min="9" max="9" width="14.85546875" style="46" customWidth="1"/>
    <col min="10" max="10" width="13.85546875" style="1283" customWidth="1"/>
    <col min="11" max="11" width="14.85546875" style="2" customWidth="1"/>
    <col min="12" max="12" width="14.85546875" style="1283" customWidth="1"/>
    <col min="13" max="13" width="14.85546875" style="2"/>
    <col min="14" max="14" width="14.85546875" style="1324"/>
    <col min="15" max="15" width="16" style="2" customWidth="1"/>
    <col min="16" max="16" width="18.85546875" style="1283" customWidth="1"/>
    <col min="17" max="17" width="18.140625" style="2" hidden="1" customWidth="1"/>
    <col min="18" max="18" width="14.85546875" style="1355" hidden="1" customWidth="1"/>
    <col min="19" max="19" width="17.140625" style="2" hidden="1" customWidth="1"/>
    <col min="20" max="20" width="14.85546875" style="1369" hidden="1" customWidth="1"/>
    <col min="21" max="21" width="43.42578125" style="2" hidden="1" customWidth="1"/>
    <col min="22" max="24" width="0" style="2" hidden="1" customWidth="1"/>
    <col min="25" max="25" width="14" style="2" hidden="1" customWidth="1"/>
    <col min="26" max="26" width="0" style="46" hidden="1" customWidth="1"/>
    <col min="27" max="27" width="0" style="2" hidden="1" customWidth="1"/>
    <col min="28" max="30" width="14.85546875" style="2"/>
    <col min="31" max="31" width="14.85546875" style="46"/>
    <col min="32" max="33" width="14.85546875" style="2"/>
    <col min="34" max="36" width="14.85546875" style="1"/>
    <col min="37" max="16384" width="14.85546875" style="2"/>
  </cols>
  <sheetData>
    <row r="1" spans="1:62" ht="18.75">
      <c r="A1" s="1602" t="str">
        <f>UPPER('Input Page'!$F$32)</f>
        <v/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914"/>
      <c r="R1" s="1341"/>
      <c r="S1" s="914"/>
      <c r="T1" s="1341"/>
      <c r="U1" s="915"/>
      <c r="V1" s="1"/>
      <c r="W1" s="1"/>
      <c r="X1" s="1"/>
      <c r="Y1" s="1"/>
      <c r="Z1" s="289"/>
      <c r="AA1" s="1"/>
      <c r="AB1" s="1"/>
      <c r="AC1" s="1"/>
      <c r="AD1" s="1"/>
      <c r="AE1" s="289"/>
      <c r="AF1" s="1"/>
      <c r="AG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18.75">
      <c r="A2" s="1602" t="s">
        <v>616</v>
      </c>
      <c r="B2" s="1602"/>
      <c r="C2" s="1602"/>
      <c r="D2" s="1602"/>
      <c r="E2" s="1602"/>
      <c r="F2" s="1602"/>
      <c r="G2" s="1602"/>
      <c r="H2" s="1602"/>
      <c r="I2" s="1602"/>
      <c r="J2" s="1602"/>
      <c r="K2" s="1602"/>
      <c r="L2" s="1602"/>
      <c r="M2" s="1602"/>
      <c r="N2" s="1602"/>
      <c r="O2" s="1602"/>
      <c r="P2" s="1602"/>
      <c r="Q2" s="914"/>
      <c r="R2" s="1341"/>
      <c r="S2" s="914"/>
      <c r="T2" s="1341"/>
      <c r="U2" s="470" t="s">
        <v>617</v>
      </c>
      <c r="V2" s="1"/>
      <c r="W2" s="1"/>
      <c r="X2" s="1"/>
      <c r="Y2" s="1"/>
      <c r="Z2" s="289"/>
      <c r="AA2" s="1"/>
      <c r="AB2" s="1"/>
      <c r="AC2" s="1"/>
      <c r="AD2" s="1"/>
      <c r="AE2" s="289"/>
      <c r="AF2" s="1"/>
      <c r="AG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18.75" thickBot="1">
      <c r="A3" s="770"/>
      <c r="B3" s="175"/>
      <c r="C3" s="175"/>
      <c r="D3" s="1263"/>
      <c r="E3" s="175"/>
      <c r="F3" s="1263"/>
      <c r="G3" s="175"/>
      <c r="H3" s="1263"/>
      <c r="I3" s="175"/>
      <c r="J3" s="1263"/>
      <c r="K3" s="175"/>
      <c r="L3" s="1263"/>
      <c r="M3" s="175"/>
      <c r="N3" s="1263"/>
      <c r="O3" s="176"/>
      <c r="P3" s="1268"/>
      <c r="Q3" s="176"/>
      <c r="R3" s="1342"/>
      <c r="S3" s="176"/>
      <c r="T3" s="1357"/>
      <c r="U3" s="916"/>
      <c r="V3" s="1"/>
      <c r="W3" s="1"/>
      <c r="X3" s="1"/>
      <c r="Y3" s="1"/>
      <c r="Z3" s="289"/>
      <c r="AA3" s="1"/>
      <c r="AB3" s="1"/>
      <c r="AC3" s="1"/>
      <c r="AD3" s="1"/>
      <c r="AE3" s="289"/>
      <c r="AF3" s="1"/>
      <c r="AG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>
      <c r="A4" s="771"/>
      <c r="B4" s="642"/>
      <c r="C4" s="642"/>
      <c r="D4" s="1264"/>
      <c r="E4" s="1247"/>
      <c r="F4" s="1285"/>
      <c r="G4" s="642"/>
      <c r="H4" s="1264"/>
      <c r="I4" s="1247"/>
      <c r="J4" s="1285"/>
      <c r="K4" s="642"/>
      <c r="L4" s="1264"/>
      <c r="M4" s="179"/>
      <c r="N4" s="1308"/>
      <c r="O4" s="179"/>
      <c r="P4" s="1308"/>
      <c r="Q4" s="912"/>
      <c r="R4" s="1343"/>
      <c r="S4" s="912"/>
      <c r="T4" s="1358"/>
      <c r="U4" s="1241"/>
      <c r="V4" s="1"/>
      <c r="W4" s="1"/>
      <c r="X4" s="1"/>
      <c r="Y4" s="1"/>
      <c r="Z4" s="289"/>
      <c r="AA4" s="1"/>
      <c r="AB4" s="1"/>
      <c r="AC4" s="1"/>
      <c r="AD4" s="1"/>
      <c r="AE4" s="289"/>
      <c r="AF4" s="1"/>
      <c r="AG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ht="18.75">
      <c r="A5" s="178"/>
      <c r="B5" s="175"/>
      <c r="C5" s="1696" t="str">
        <f>CONCATENATE('Timing-Leasing-TC Delivery'!$G$5-4," Audit")</f>
        <v>1896 Audit</v>
      </c>
      <c r="D5" s="1696"/>
      <c r="E5" s="1697" t="str">
        <f>CONCATENATE('Timing-Leasing-TC Delivery'!$G$5-3," Audit")</f>
        <v>1897 Audit</v>
      </c>
      <c r="F5" s="1698"/>
      <c r="G5" s="1696" t="str">
        <f>CONCATENATE('Timing-Leasing-TC Delivery'!$G$5-2," Audit")</f>
        <v>1898 Audit</v>
      </c>
      <c r="H5" s="1696"/>
      <c r="I5" s="1697" t="str">
        <f>CONCATENATE('Timing-Leasing-TC Delivery'!$G$5-1," Audit")</f>
        <v>1899 Audit</v>
      </c>
      <c r="J5" s="1698"/>
      <c r="K5" s="1705" t="s">
        <v>618</v>
      </c>
      <c r="L5" s="1705"/>
      <c r="M5" s="1703" t="s">
        <v>1081</v>
      </c>
      <c r="N5" s="1704"/>
      <c r="O5" s="1701" t="s">
        <v>1088</v>
      </c>
      <c r="P5" s="1702"/>
      <c r="Q5" s="1696" t="s">
        <v>619</v>
      </c>
      <c r="R5" s="1696"/>
      <c r="S5" s="1699" t="s">
        <v>620</v>
      </c>
      <c r="T5" s="1700"/>
      <c r="U5" s="1242" t="s">
        <v>621</v>
      </c>
      <c r="V5" s="1"/>
      <c r="W5" s="1238" t="s">
        <v>622</v>
      </c>
      <c r="X5" s="1"/>
      <c r="Y5" s="1"/>
      <c r="Z5" s="1239" t="str">
        <f>'Input Page'!$F$53</f>
        <v>No</v>
      </c>
      <c r="AA5" s="1"/>
      <c r="AB5" s="1"/>
      <c r="AC5" s="1"/>
      <c r="AD5" s="1"/>
      <c r="AE5" s="289"/>
      <c r="AF5" s="1"/>
      <c r="AG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ht="18.75">
      <c r="A6" s="888" t="s">
        <v>389</v>
      </c>
      <c r="B6" s="889" t="s">
        <v>390</v>
      </c>
      <c r="C6" s="889" t="s">
        <v>623</v>
      </c>
      <c r="D6" s="1265" t="s">
        <v>254</v>
      </c>
      <c r="E6" s="1248" t="s">
        <v>623</v>
      </c>
      <c r="F6" s="1286" t="s">
        <v>254</v>
      </c>
      <c r="G6" s="889" t="s">
        <v>623</v>
      </c>
      <c r="H6" s="1265" t="s">
        <v>254</v>
      </c>
      <c r="I6" s="1248" t="s">
        <v>623</v>
      </c>
      <c r="J6" s="1286" t="s">
        <v>254</v>
      </c>
      <c r="K6" s="889" t="s">
        <v>623</v>
      </c>
      <c r="L6" s="1265" t="s">
        <v>254</v>
      </c>
      <c r="M6" s="890" t="s">
        <v>623</v>
      </c>
      <c r="N6" s="1309" t="s">
        <v>254</v>
      </c>
      <c r="O6" s="890" t="s">
        <v>623</v>
      </c>
      <c r="P6" s="1309" t="s">
        <v>254</v>
      </c>
      <c r="Q6" s="889" t="s">
        <v>624</v>
      </c>
      <c r="R6" s="1344" t="s">
        <v>625</v>
      </c>
      <c r="S6" s="893" t="s">
        <v>624</v>
      </c>
      <c r="T6" s="1359" t="s">
        <v>625</v>
      </c>
      <c r="U6" s="177"/>
      <c r="V6" s="1"/>
      <c r="W6" s="1238" t="s">
        <v>626</v>
      </c>
      <c r="X6" s="1"/>
      <c r="Y6" s="1"/>
      <c r="Z6" s="1239" t="str">
        <f>'Input Page'!$F$54</f>
        <v>Yes</v>
      </c>
      <c r="AA6" s="1"/>
      <c r="AB6" s="1"/>
      <c r="AC6" s="1"/>
      <c r="AD6" s="1"/>
      <c r="AE6" s="289"/>
      <c r="AF6" s="1"/>
      <c r="AG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>
      <c r="A7" s="178"/>
      <c r="B7" s="181" t="s">
        <v>401</v>
      </c>
      <c r="C7" s="175"/>
      <c r="D7" s="1263"/>
      <c r="E7" s="1249"/>
      <c r="F7" s="1287"/>
      <c r="G7" s="175"/>
      <c r="H7" s="1263"/>
      <c r="I7" s="1249"/>
      <c r="J7" s="1287"/>
      <c r="K7" s="175"/>
      <c r="L7" s="1263"/>
      <c r="M7" s="182"/>
      <c r="N7" s="1310"/>
      <c r="O7" s="182"/>
      <c r="P7" s="1310"/>
      <c r="Q7" s="175"/>
      <c r="R7" s="1345">
        <v>246</v>
      </c>
      <c r="S7" s="175"/>
      <c r="T7" s="1360">
        <v>246</v>
      </c>
      <c r="U7" s="1243"/>
      <c r="V7" s="1"/>
      <c r="W7" s="1"/>
      <c r="X7" s="1"/>
      <c r="Y7" s="1"/>
      <c r="Z7" s="289"/>
      <c r="AA7" s="1"/>
      <c r="AB7" s="1"/>
      <c r="AC7" s="1"/>
      <c r="AD7" s="1"/>
      <c r="AE7" s="289"/>
      <c r="AF7" s="1"/>
      <c r="AG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>
      <c r="A8" s="919">
        <v>5120</v>
      </c>
      <c r="B8" s="186" t="s">
        <v>402</v>
      </c>
      <c r="C8" s="567"/>
      <c r="D8" s="1266" t="e">
        <f>C8/'Unit Mix'!$D$39</f>
        <v>#DIV/0!</v>
      </c>
      <c r="E8" s="1250"/>
      <c r="F8" s="1288" t="e">
        <f>E8/'Unit Mix'!$D$39</f>
        <v>#DIV/0!</v>
      </c>
      <c r="G8" s="567"/>
      <c r="H8" s="1266" t="e">
        <f>G8/'Unit Mix'!$D$39</f>
        <v>#DIV/0!</v>
      </c>
      <c r="I8" s="1250"/>
      <c r="J8" s="1288" t="e">
        <f>I8/'Unit Mix'!$D$39</f>
        <v>#DIV/0!</v>
      </c>
      <c r="K8" s="1250"/>
      <c r="L8" s="1266" t="e">
        <f>K8/'Unit Mix'!$D$39</f>
        <v>#DIV/0!</v>
      </c>
      <c r="M8" s="891">
        <f>'Input Page'!G181</f>
        <v>0</v>
      </c>
      <c r="N8" s="1311" t="e">
        <f>M8/'Unit Mix'!$D$39</f>
        <v>#DIV/0!</v>
      </c>
      <c r="O8" s="891">
        <f>'Input Page'!I181</f>
        <v>0</v>
      </c>
      <c r="P8" s="1311" t="e">
        <f>O8/'Unit Mix'!$D$39</f>
        <v>#DIV/0!</v>
      </c>
      <c r="Q8" s="567">
        <f>M8-K8</f>
        <v>0</v>
      </c>
      <c r="R8" s="1269" t="e">
        <f>(Q8-K8)/K8</f>
        <v>#DIV/0!</v>
      </c>
      <c r="S8" s="567">
        <f>O8-K8</f>
        <v>0</v>
      </c>
      <c r="T8" s="1361" t="e">
        <f>IF('Input Page'!$F$53="Yes",((O8-K8)/K8),IF('Input Page'!$F$54="Yes",S8/((O8-K8)/K8),""))</f>
        <v>#DIV/0!</v>
      </c>
      <c r="U8" s="1243" t="s">
        <v>627</v>
      </c>
      <c r="V8" s="1"/>
      <c r="W8" s="1"/>
      <c r="X8" s="1"/>
      <c r="Y8" s="1"/>
      <c r="Z8" s="289"/>
      <c r="AA8" s="1"/>
      <c r="AB8" s="1"/>
      <c r="AC8" s="1"/>
      <c r="AD8" s="1"/>
      <c r="AE8" s="289"/>
      <c r="AF8" s="1"/>
      <c r="AG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>
      <c r="A9" s="919">
        <v>5121</v>
      </c>
      <c r="B9" s="186" t="s">
        <v>403</v>
      </c>
      <c r="C9" s="567"/>
      <c r="D9" s="1266" t="e">
        <f>C9/'Unit Mix'!$D$39</f>
        <v>#DIV/0!</v>
      </c>
      <c r="E9" s="1250"/>
      <c r="F9" s="1288" t="e">
        <f>E9/'Unit Mix'!$D$39</f>
        <v>#DIV/0!</v>
      </c>
      <c r="G9" s="567"/>
      <c r="H9" s="1266" t="e">
        <f>G9/'Unit Mix'!$D$39</f>
        <v>#DIV/0!</v>
      </c>
      <c r="I9" s="1250"/>
      <c r="J9" s="1288" t="e">
        <f>I9/'Unit Mix'!$D$39</f>
        <v>#DIV/0!</v>
      </c>
      <c r="K9" s="1250"/>
      <c r="L9" s="1266" t="e">
        <f>K9/'Unit Mix'!$D$39</f>
        <v>#DIV/0!</v>
      </c>
      <c r="M9" s="891"/>
      <c r="N9" s="1311" t="e">
        <f>M9/'Unit Mix'!$D$39</f>
        <v>#DIV/0!</v>
      </c>
      <c r="O9" s="891"/>
      <c r="P9" s="1311" t="e">
        <f>O9/'Unit Mix'!$D$39</f>
        <v>#DIV/0!</v>
      </c>
      <c r="Q9" s="567">
        <f t="shared" ref="Q9:Q78" si="0">M9-K9</f>
        <v>0</v>
      </c>
      <c r="R9" s="1269" t="e">
        <f>(M9-K9)/K9</f>
        <v>#DIV/0!</v>
      </c>
      <c r="S9" s="567">
        <f>O9-K9</f>
        <v>0</v>
      </c>
      <c r="T9" s="1361" t="e">
        <f>IF('Input Page'!$F$53="Yes",((O9-K9)/K9),IF('Input Page'!$F$54="Yes",S9/((O9-K9)/K9),""))</f>
        <v>#DIV/0!</v>
      </c>
      <c r="U9" s="1243"/>
      <c r="V9" s="1"/>
      <c r="W9" s="1"/>
      <c r="X9" s="1"/>
      <c r="Y9" s="1"/>
      <c r="Z9" s="289"/>
      <c r="AA9" s="1"/>
      <c r="AB9" s="1"/>
      <c r="AC9" s="1"/>
      <c r="AD9" s="1"/>
      <c r="AE9" s="289"/>
      <c r="AF9" s="1"/>
      <c r="AG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hidden="1">
      <c r="A10" s="919">
        <v>5140</v>
      </c>
      <c r="B10" s="186" t="s">
        <v>404</v>
      </c>
      <c r="C10" s="567"/>
      <c r="D10" s="1266" t="e">
        <f>C10/'Unit Mix'!$D$39</f>
        <v>#DIV/0!</v>
      </c>
      <c r="E10" s="1250"/>
      <c r="F10" s="1288" t="e">
        <f>E10/'Unit Mix'!$D$39</f>
        <v>#DIV/0!</v>
      </c>
      <c r="G10" s="567"/>
      <c r="H10" s="1266" t="e">
        <f>G10/'Unit Mix'!$D$39</f>
        <v>#DIV/0!</v>
      </c>
      <c r="I10" s="1250"/>
      <c r="J10" s="1288" t="e">
        <f>I10/'Unit Mix'!$D$39</f>
        <v>#DIV/0!</v>
      </c>
      <c r="K10" s="907"/>
      <c r="L10" s="1266" t="e">
        <f>K10/'Unit Mix'!$D$39</f>
        <v>#DIV/0!</v>
      </c>
      <c r="M10" s="891"/>
      <c r="N10" s="1311" t="e">
        <f>M10/'Unit Mix'!$D$39</f>
        <v>#DIV/0!</v>
      </c>
      <c r="O10" s="891"/>
      <c r="P10" s="1311" t="e">
        <f>O10/'Unit Mix'!$D$39</f>
        <v>#DIV/0!</v>
      </c>
      <c r="Q10" s="567">
        <f t="shared" si="0"/>
        <v>0</v>
      </c>
      <c r="R10" s="1269" t="e">
        <f t="shared" ref="R10:R14" si="1">(M10-K10)/K10</f>
        <v>#DIV/0!</v>
      </c>
      <c r="S10" s="567">
        <f t="shared" ref="S10:S78" si="2">O10-K10</f>
        <v>0</v>
      </c>
      <c r="T10" s="1361" t="e">
        <f>IF('Input Page'!$F$53="Yes",((O10-K10)/K10),IF('Input Page'!$F$54="Yes",S10/((O10-K10)/K10),""))</f>
        <v>#DIV/0!</v>
      </c>
      <c r="U10" s="1243"/>
      <c r="V10" s="1"/>
      <c r="W10" s="1"/>
      <c r="X10" s="1"/>
      <c r="Y10" s="1"/>
      <c r="Z10" s="289"/>
      <c r="AA10" s="1"/>
      <c r="AB10" s="1"/>
      <c r="AC10" s="1"/>
      <c r="AD10" s="1"/>
      <c r="AE10" s="289"/>
      <c r="AF10" s="1"/>
      <c r="AG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hidden="1">
      <c r="A11" s="919">
        <v>5145</v>
      </c>
      <c r="B11" s="186" t="s">
        <v>405</v>
      </c>
      <c r="C11" s="567"/>
      <c r="D11" s="1266" t="e">
        <f>C11/'Unit Mix'!$D$39</f>
        <v>#DIV/0!</v>
      </c>
      <c r="E11" s="1250"/>
      <c r="F11" s="1288" t="e">
        <f>E11/'Unit Mix'!$D$39</f>
        <v>#DIV/0!</v>
      </c>
      <c r="G11" s="567"/>
      <c r="H11" s="1266" t="e">
        <f>G11/'Unit Mix'!$D$39</f>
        <v>#DIV/0!</v>
      </c>
      <c r="I11" s="1250"/>
      <c r="J11" s="1288" t="e">
        <f>I11/'Unit Mix'!$D$39</f>
        <v>#DIV/0!</v>
      </c>
      <c r="K11" s="907"/>
      <c r="L11" s="1266" t="e">
        <f>K11/'Unit Mix'!$D$39</f>
        <v>#DIV/0!</v>
      </c>
      <c r="M11" s="891"/>
      <c r="N11" s="1311" t="e">
        <f>M11/'Unit Mix'!$D$39</f>
        <v>#DIV/0!</v>
      </c>
      <c r="O11" s="891"/>
      <c r="P11" s="1311" t="e">
        <f>O11/'Unit Mix'!$D$39</f>
        <v>#DIV/0!</v>
      </c>
      <c r="Q11" s="567">
        <f t="shared" si="0"/>
        <v>0</v>
      </c>
      <c r="R11" s="1269" t="e">
        <f t="shared" si="1"/>
        <v>#DIV/0!</v>
      </c>
      <c r="S11" s="567">
        <f t="shared" si="2"/>
        <v>0</v>
      </c>
      <c r="T11" s="1361" t="e">
        <f>IF('Input Page'!$F$53="Yes",((O11-K11)/K11),IF('Input Page'!$F$54="Yes",S11/((O11-K11)/K11),""))</f>
        <v>#DIV/0!</v>
      </c>
      <c r="U11" s="1243"/>
      <c r="V11" s="1"/>
      <c r="W11" s="1"/>
      <c r="X11" s="1"/>
      <c r="Y11" s="1"/>
      <c r="Z11" s="289"/>
      <c r="AA11" s="1"/>
      <c r="AB11" s="1"/>
      <c r="AC11" s="1"/>
      <c r="AD11" s="1"/>
      <c r="AE11" s="289"/>
      <c r="AF11" s="1"/>
      <c r="AG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hidden="1">
      <c r="A12" s="919">
        <v>5190</v>
      </c>
      <c r="B12" s="186" t="s">
        <v>406</v>
      </c>
      <c r="C12" s="567"/>
      <c r="D12" s="1266" t="e">
        <f>C12/'Unit Mix'!$D$39</f>
        <v>#DIV/0!</v>
      </c>
      <c r="E12" s="1250"/>
      <c r="F12" s="1288" t="e">
        <f>E12/'Unit Mix'!$D$39</f>
        <v>#DIV/0!</v>
      </c>
      <c r="G12" s="567"/>
      <c r="H12" s="1266" t="e">
        <f>G12/'Unit Mix'!$D$39</f>
        <v>#DIV/0!</v>
      </c>
      <c r="I12" s="1250"/>
      <c r="J12" s="1288" t="e">
        <f>I12/'Unit Mix'!$D$39</f>
        <v>#DIV/0!</v>
      </c>
      <c r="K12" s="907"/>
      <c r="L12" s="1266" t="e">
        <f>K12/'Unit Mix'!$D$39</f>
        <v>#DIV/0!</v>
      </c>
      <c r="M12" s="891"/>
      <c r="N12" s="1311" t="e">
        <f>M12/'Unit Mix'!$D$39</f>
        <v>#DIV/0!</v>
      </c>
      <c r="O12" s="891"/>
      <c r="P12" s="1311" t="e">
        <f>O12/'Unit Mix'!$D$39</f>
        <v>#DIV/0!</v>
      </c>
      <c r="Q12" s="567">
        <f t="shared" si="0"/>
        <v>0</v>
      </c>
      <c r="R12" s="1269" t="e">
        <f t="shared" si="1"/>
        <v>#DIV/0!</v>
      </c>
      <c r="S12" s="567">
        <f t="shared" si="2"/>
        <v>0</v>
      </c>
      <c r="T12" s="1361" t="e">
        <f>IF('Input Page'!$F$53="Yes",((O12-K12)/K12),IF('Input Page'!$F$54="Yes",S12/((O12-K12)/K12),""))</f>
        <v>#DIV/0!</v>
      </c>
      <c r="U12" s="1243"/>
      <c r="V12" s="1"/>
      <c r="W12" s="1"/>
      <c r="X12" s="1"/>
      <c r="Y12" s="1"/>
      <c r="Z12" s="289"/>
      <c r="AA12" s="1"/>
      <c r="AB12" s="1"/>
      <c r="AC12" s="1"/>
      <c r="AD12" s="1"/>
      <c r="AE12" s="289"/>
      <c r="AF12" s="1"/>
      <c r="AG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1:62" hidden="1">
      <c r="A13" s="919">
        <v>5193</v>
      </c>
      <c r="B13" s="186" t="s">
        <v>407</v>
      </c>
      <c r="C13" s="635"/>
      <c r="D13" s="1267" t="e">
        <f>C13/'Unit Mix'!$D$39</f>
        <v>#DIV/0!</v>
      </c>
      <c r="E13" s="1251"/>
      <c r="F13" s="1289" t="e">
        <f>E13/'Unit Mix'!$D$39</f>
        <v>#DIV/0!</v>
      </c>
      <c r="G13" s="635"/>
      <c r="H13" s="1267" t="e">
        <f>G13/'Unit Mix'!$D$39</f>
        <v>#DIV/0!</v>
      </c>
      <c r="I13" s="1251"/>
      <c r="J13" s="1289" t="e">
        <f>I13/'Unit Mix'!$D$39</f>
        <v>#DIV/0!</v>
      </c>
      <c r="K13" s="1440"/>
      <c r="L13" s="1267" t="e">
        <f>K13/'Unit Mix'!$D$39</f>
        <v>#DIV/0!</v>
      </c>
      <c r="M13" s="892"/>
      <c r="N13" s="1312" t="e">
        <f>M13/'Unit Mix'!$D$39</f>
        <v>#DIV/0!</v>
      </c>
      <c r="O13" s="892"/>
      <c r="P13" s="1312" t="e">
        <f>O13/'Unit Mix'!$D$39</f>
        <v>#DIV/0!</v>
      </c>
      <c r="Q13" s="635">
        <f t="shared" si="0"/>
        <v>0</v>
      </c>
      <c r="R13" s="1270" t="e">
        <f t="shared" si="1"/>
        <v>#DIV/0!</v>
      </c>
      <c r="S13" s="635">
        <f t="shared" si="2"/>
        <v>0</v>
      </c>
      <c r="T13" s="1314" t="e">
        <f>IF('Input Page'!$F$53="Yes",((O13-K13)/K13),IF('Input Page'!$F$54="Yes",S13/((O13-K13)/K13),""))</f>
        <v>#DIV/0!</v>
      </c>
      <c r="U13" s="1243"/>
      <c r="V13" s="1"/>
      <c r="W13" s="1"/>
      <c r="X13" s="1"/>
      <c r="Y13" s="1"/>
      <c r="Z13" s="289"/>
      <c r="AA13" s="1"/>
      <c r="AB13" s="1"/>
      <c r="AC13" s="1"/>
      <c r="AD13" s="1"/>
      <c r="AE13" s="289"/>
      <c r="AF13" s="1"/>
      <c r="AG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1:62">
      <c r="A14" s="919"/>
      <c r="B14" s="175"/>
      <c r="C14" s="567">
        <f>SUM(C8:C13)</f>
        <v>0</v>
      </c>
      <c r="D14" s="1266" t="e">
        <f>C14/'Unit Mix'!$D$39</f>
        <v>#DIV/0!</v>
      </c>
      <c r="E14" s="1560">
        <f>SUM(E8:E13)</f>
        <v>0</v>
      </c>
      <c r="F14" s="1561" t="e">
        <f>E14/'Unit Mix'!$D$39</f>
        <v>#DIV/0!</v>
      </c>
      <c r="G14" s="1562">
        <f>SUM(G8:G13)</f>
        <v>0</v>
      </c>
      <c r="H14" s="1561" t="e">
        <f>G14/'Unit Mix'!$D$39</f>
        <v>#DIV/0!</v>
      </c>
      <c r="I14" s="1562">
        <f>SUM(I8:I13)</f>
        <v>0</v>
      </c>
      <c r="J14" s="1561" t="e">
        <f>I14/'Unit Mix'!$D$39</f>
        <v>#DIV/0!</v>
      </c>
      <c r="K14" s="1562">
        <f>SUM(K8:K13)</f>
        <v>0</v>
      </c>
      <c r="L14" s="1561" t="e">
        <f>K14/'Unit Mix'!$D$39</f>
        <v>#DIV/0!</v>
      </c>
      <c r="M14" s="1562">
        <f>SUM(M8:M13)</f>
        <v>0</v>
      </c>
      <c r="N14" s="1561" t="e">
        <f>M14/'Unit Mix'!$D$39</f>
        <v>#DIV/0!</v>
      </c>
      <c r="O14" s="1562">
        <f>SUM(O8:O13)</f>
        <v>0</v>
      </c>
      <c r="P14" s="1563" t="e">
        <f>O14/'Unit Mix'!$D$39</f>
        <v>#DIV/0!</v>
      </c>
      <c r="Q14" s="567">
        <f t="shared" si="0"/>
        <v>0</v>
      </c>
      <c r="R14" s="1269" t="e">
        <f t="shared" si="1"/>
        <v>#DIV/0!</v>
      </c>
      <c r="S14" s="567">
        <f t="shared" si="2"/>
        <v>0</v>
      </c>
      <c r="T14" s="1399" t="e">
        <f>IF('Input Page'!$F$53="Yes",((O14-K14)/K14),IF('Input Page'!$F$54="Yes",S14/((O14-K14)/K14),""))</f>
        <v>#DIV/0!</v>
      </c>
      <c r="U14" s="1243"/>
      <c r="V14" s="1"/>
      <c r="W14" s="1"/>
      <c r="X14" s="1"/>
      <c r="Y14" s="1"/>
      <c r="Z14" s="289"/>
      <c r="AA14" s="1"/>
      <c r="AB14" s="1"/>
      <c r="AC14" s="1"/>
      <c r="AD14" s="1"/>
      <c r="AE14" s="289"/>
      <c r="AF14" s="1"/>
      <c r="AG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1:62">
      <c r="A15" s="919"/>
      <c r="B15" s="175"/>
      <c r="C15" s="567"/>
      <c r="D15" s="1266"/>
      <c r="E15" s="1249"/>
      <c r="F15" s="1288"/>
      <c r="G15" s="175"/>
      <c r="H15" s="1266"/>
      <c r="I15" s="1249"/>
      <c r="J15" s="1288"/>
      <c r="K15" s="567"/>
      <c r="L15" s="1266"/>
      <c r="M15" s="891"/>
      <c r="N15" s="1311"/>
      <c r="O15" s="891"/>
      <c r="P15" s="1311"/>
      <c r="Q15" s="567"/>
      <c r="R15" s="1269"/>
      <c r="S15" s="567"/>
      <c r="T15" s="1361"/>
      <c r="U15" s="1243"/>
      <c r="V15" s="1"/>
      <c r="W15" s="1"/>
      <c r="X15" s="1"/>
      <c r="Y15" s="1"/>
      <c r="Z15" s="289"/>
      <c r="AA15" s="1"/>
      <c r="AB15" s="1"/>
      <c r="AC15" s="1"/>
      <c r="AD15" s="1"/>
      <c r="AE15" s="289"/>
      <c r="AF15" s="1"/>
      <c r="AG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1:62">
      <c r="A16" s="919"/>
      <c r="B16" s="181" t="s">
        <v>408</v>
      </c>
      <c r="C16" s="176"/>
      <c r="D16" s="1268"/>
      <c r="E16" s="1252"/>
      <c r="F16" s="1290"/>
      <c r="G16" s="176"/>
      <c r="H16" s="1268"/>
      <c r="I16" s="1252"/>
      <c r="J16" s="1290"/>
      <c r="K16" s="175"/>
      <c r="L16" s="1268"/>
      <c r="M16" s="182"/>
      <c r="N16" s="1313"/>
      <c r="O16" s="182"/>
      <c r="P16" s="1332"/>
      <c r="Q16" s="175"/>
      <c r="R16" s="1346"/>
      <c r="S16" s="175"/>
      <c r="T16" s="1362"/>
      <c r="U16" s="1243"/>
      <c r="V16" s="1"/>
      <c r="W16" s="1"/>
      <c r="X16" s="1"/>
      <c r="Y16" s="1"/>
      <c r="Z16" s="289"/>
      <c r="AA16" s="1"/>
      <c r="AB16" s="1"/>
      <c r="AC16" s="1"/>
      <c r="AD16" s="1"/>
      <c r="AE16" s="289"/>
      <c r="AF16" s="1"/>
      <c r="AG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1:62">
      <c r="A17" s="919">
        <v>5210</v>
      </c>
      <c r="B17" s="186" t="str">
        <f>CONCATENATE(" Residential Vacancy - (",$U$17*100,"%)")</f>
        <v xml:space="preserve"> Residential Vacancy - (5%)</v>
      </c>
      <c r="C17" s="567"/>
      <c r="D17" s="1269" t="e">
        <f>C17/C14</f>
        <v>#DIV/0!</v>
      </c>
      <c r="E17" s="1251"/>
      <c r="F17" s="1291" t="e">
        <f>E17/E14</f>
        <v>#DIV/0!</v>
      </c>
      <c r="G17" s="635"/>
      <c r="H17" s="1270" t="e">
        <f>G17/G14</f>
        <v>#DIV/0!</v>
      </c>
      <c r="I17" s="1251"/>
      <c r="J17" s="1291" t="e">
        <f>I17/I14</f>
        <v>#DIV/0!</v>
      </c>
      <c r="K17" s="635"/>
      <c r="L17" s="1270" t="e">
        <f>K17/K14</f>
        <v>#DIV/0!</v>
      </c>
      <c r="M17" s="892">
        <f>$U$17*M14</f>
        <v>0</v>
      </c>
      <c r="N17" s="1559" t="e">
        <f>M17/M14</f>
        <v>#DIV/0!</v>
      </c>
      <c r="O17" s="892">
        <f>$U$17*O14</f>
        <v>0</v>
      </c>
      <c r="P17" s="1559" t="e">
        <f>O17/O14</f>
        <v>#DIV/0!</v>
      </c>
      <c r="Q17" s="567">
        <f>M17-K17</f>
        <v>0</v>
      </c>
      <c r="R17" s="1269" t="e">
        <f t="shared" ref="R17:R21" si="3">(M17-K17)/K17</f>
        <v>#DIV/0!</v>
      </c>
      <c r="S17" s="567">
        <f t="shared" si="2"/>
        <v>0</v>
      </c>
      <c r="T17" s="1361" t="e">
        <f>IF('Input Page'!$F$53="Yes",((O17-K17)/K17),IF('Input Page'!$F$54="Yes",S17/((O17-K17)/K17),""))</f>
        <v>#DIV/0!</v>
      </c>
      <c r="U17" s="1244">
        <v>0.05</v>
      </c>
      <c r="V17" s="1190"/>
      <c r="W17" s="1"/>
      <c r="X17" s="1"/>
      <c r="Y17" s="1"/>
      <c r="Z17" s="289"/>
      <c r="AA17" s="1"/>
      <c r="AB17" s="1"/>
      <c r="AC17" s="1"/>
      <c r="AD17" s="1"/>
      <c r="AE17" s="289"/>
      <c r="AF17" s="1"/>
      <c r="AG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1:62" hidden="1">
      <c r="A18" s="919">
        <v>5290</v>
      </c>
      <c r="B18" s="186" t="s">
        <v>628</v>
      </c>
      <c r="C18" s="635"/>
      <c r="D18" s="1270" t="e">
        <f>C18/C14</f>
        <v>#DIV/0!</v>
      </c>
      <c r="E18" s="1251"/>
      <c r="F18" s="1291" t="e">
        <f>E18/E14</f>
        <v>#DIV/0!</v>
      </c>
      <c r="G18" s="635"/>
      <c r="H18" s="1270" t="e">
        <f>G18/G14</f>
        <v>#DIV/0!</v>
      </c>
      <c r="I18" s="1251"/>
      <c r="J18" s="1291" t="e">
        <f>I18/I14</f>
        <v>#DIV/0!</v>
      </c>
      <c r="K18" s="635"/>
      <c r="L18" s="1270" t="e">
        <f>K18/K14</f>
        <v>#DIV/0!</v>
      </c>
      <c r="M18" s="892">
        <f>U18*M14</f>
        <v>0</v>
      </c>
      <c r="N18" s="1314" t="e">
        <f>M18/M14</f>
        <v>#DIV/0!</v>
      </c>
      <c r="O18" s="892">
        <f>U18*O14</f>
        <v>0</v>
      </c>
      <c r="P18" s="1314" t="e">
        <f>O18/O14</f>
        <v>#DIV/0!</v>
      </c>
      <c r="Q18" s="635">
        <f t="shared" si="0"/>
        <v>0</v>
      </c>
      <c r="R18" s="1270" t="e">
        <f t="shared" si="3"/>
        <v>#DIV/0!</v>
      </c>
      <c r="S18" s="635">
        <f t="shared" si="2"/>
        <v>0</v>
      </c>
      <c r="T18" s="1314" t="e">
        <f>IF('Input Page'!$F$53="Yes",((O18-K18)/K18),IF('Input Page'!$F$54="Yes",S18/((O18-K18)/K18),""))</f>
        <v>#DIV/0!</v>
      </c>
      <c r="U18" s="1244">
        <v>0</v>
      </c>
      <c r="V18" s="1190" t="s">
        <v>629</v>
      </c>
      <c r="W18" s="1"/>
      <c r="X18" s="1"/>
      <c r="Y18" s="1"/>
      <c r="Z18" s="289"/>
      <c r="AA18" s="1"/>
      <c r="AB18" s="1"/>
      <c r="AC18" s="1"/>
      <c r="AD18" s="1"/>
      <c r="AE18" s="289"/>
      <c r="AF18" s="1"/>
      <c r="AG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spans="1:62">
      <c r="A19" s="919"/>
      <c r="B19" s="175"/>
      <c r="C19" s="567">
        <f>SUM(C17:C18)</f>
        <v>0</v>
      </c>
      <c r="D19" s="1266" t="e">
        <f>C19/'Unit Mix'!$D$39</f>
        <v>#DIV/0!</v>
      </c>
      <c r="E19" s="1250">
        <f>SUM(E17:E18)</f>
        <v>0</v>
      </c>
      <c r="F19" s="1288" t="e">
        <f>E19/'Unit Mix'!$D$39</f>
        <v>#DIV/0!</v>
      </c>
      <c r="G19" s="567">
        <f>SUM(G17:G18)</f>
        <v>0</v>
      </c>
      <c r="H19" s="1266" t="e">
        <f>G19/'Unit Mix'!$D$39</f>
        <v>#DIV/0!</v>
      </c>
      <c r="I19" s="1250">
        <f>SUM(I17:I18)</f>
        <v>0</v>
      </c>
      <c r="J19" s="1288" t="e">
        <f>I19/'Unit Mix'!$D$39</f>
        <v>#DIV/0!</v>
      </c>
      <c r="K19" s="567">
        <f>SUM(K17:K18)</f>
        <v>0</v>
      </c>
      <c r="L19" s="1266" t="e">
        <f>K19/'Unit Mix'!$D$39</f>
        <v>#DIV/0!</v>
      </c>
      <c r="M19" s="891">
        <f>SUM(M17:M18)</f>
        <v>0</v>
      </c>
      <c r="N19" s="1311" t="e">
        <f>M19/'Unit Mix'!$D$39</f>
        <v>#DIV/0!</v>
      </c>
      <c r="O19" s="891">
        <f>SUM(O17:O18)</f>
        <v>0</v>
      </c>
      <c r="P19" s="1311" t="e">
        <f>O19/'Unit Mix'!$D$39</f>
        <v>#DIV/0!</v>
      </c>
      <c r="Q19" s="567">
        <f t="shared" si="0"/>
        <v>0</v>
      </c>
      <c r="R19" s="1269" t="e">
        <f t="shared" si="3"/>
        <v>#DIV/0!</v>
      </c>
      <c r="S19" s="567">
        <f t="shared" si="2"/>
        <v>0</v>
      </c>
      <c r="T19" s="1361" t="e">
        <f>IF('Input Page'!$F$53="Yes",((O19-K19)/K19),IF('Input Page'!$F$54="Yes",S19/((O19-K19)/K19),""))</f>
        <v>#DIV/0!</v>
      </c>
      <c r="U19" s="1245"/>
      <c r="V19" s="1"/>
      <c r="W19" s="1"/>
      <c r="X19" s="1"/>
      <c r="Y19" s="1"/>
      <c r="Z19" s="289"/>
      <c r="AA19" s="1"/>
      <c r="AB19" s="1"/>
      <c r="AC19" s="1"/>
      <c r="AD19" s="1"/>
      <c r="AE19" s="289"/>
      <c r="AF19" s="1"/>
      <c r="AG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spans="1:62">
      <c r="A20" s="919"/>
      <c r="B20" s="186"/>
      <c r="C20" s="187"/>
      <c r="D20" s="1271"/>
      <c r="E20" s="1253"/>
      <c r="F20" s="1292"/>
      <c r="G20" s="187"/>
      <c r="H20" s="1271"/>
      <c r="I20" s="1253"/>
      <c r="J20" s="1292"/>
      <c r="K20" s="187"/>
      <c r="L20" s="1271"/>
      <c r="M20" s="188"/>
      <c r="N20" s="1315"/>
      <c r="O20" s="188"/>
      <c r="P20" s="1315"/>
      <c r="Q20" s="175"/>
      <c r="R20" s="1346"/>
      <c r="S20" s="175"/>
      <c r="T20" s="1362"/>
      <c r="U20" s="1246"/>
      <c r="V20" s="1"/>
      <c r="W20" s="1"/>
      <c r="X20" s="1"/>
      <c r="Y20" s="1"/>
      <c r="Z20" s="289"/>
      <c r="AA20" s="1"/>
      <c r="AB20" s="1"/>
      <c r="AC20" s="1"/>
      <c r="AD20" s="1"/>
      <c r="AE20" s="289"/>
      <c r="AF20" s="1"/>
      <c r="AG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spans="1:62">
      <c r="A21" s="919"/>
      <c r="B21" s="186" t="s">
        <v>630</v>
      </c>
      <c r="C21" s="635">
        <f>C14-C19</f>
        <v>0</v>
      </c>
      <c r="D21" s="1267" t="e">
        <f>C21/'Unit Mix'!$D$39</f>
        <v>#DIV/0!</v>
      </c>
      <c r="E21" s="1251">
        <f>E14-E19</f>
        <v>0</v>
      </c>
      <c r="F21" s="1289" t="e">
        <f>E21/'Unit Mix'!$D$39</f>
        <v>#DIV/0!</v>
      </c>
      <c r="G21" s="635">
        <f>G14-G19</f>
        <v>0</v>
      </c>
      <c r="H21" s="1267" t="e">
        <f>G21/'Unit Mix'!$D$39</f>
        <v>#DIV/0!</v>
      </c>
      <c r="I21" s="1251">
        <f>I14-I19</f>
        <v>0</v>
      </c>
      <c r="J21" s="1289" t="e">
        <f>I21/'Unit Mix'!$D$39</f>
        <v>#DIV/0!</v>
      </c>
      <c r="K21" s="635">
        <f>K14-K19</f>
        <v>0</v>
      </c>
      <c r="L21" s="1267" t="e">
        <f>K21/'Unit Mix'!$D$39</f>
        <v>#DIV/0!</v>
      </c>
      <c r="M21" s="892">
        <f>M14-M19</f>
        <v>0</v>
      </c>
      <c r="N21" s="1312" t="e">
        <f>M21/'Unit Mix'!$D$39</f>
        <v>#DIV/0!</v>
      </c>
      <c r="O21" s="892">
        <f>O14-O19</f>
        <v>0</v>
      </c>
      <c r="P21" s="1312" t="e">
        <f>O21/'Unit Mix'!$D$39</f>
        <v>#DIV/0!</v>
      </c>
      <c r="Q21" s="635">
        <f t="shared" si="0"/>
        <v>0</v>
      </c>
      <c r="R21" s="1270" t="e">
        <f t="shared" si="3"/>
        <v>#DIV/0!</v>
      </c>
      <c r="S21" s="635">
        <f t="shared" si="2"/>
        <v>0</v>
      </c>
      <c r="T21" s="1314" t="e">
        <f>IF('Input Page'!$F$53="Yes",((O21-K21)/K21),IF('Input Page'!$F$54="Yes",S21/((O21-K21)/K21),""))</f>
        <v>#DIV/0!</v>
      </c>
      <c r="U21" s="1243"/>
      <c r="V21" s="1"/>
      <c r="W21" s="1"/>
      <c r="X21" s="1"/>
      <c r="Y21" s="1"/>
      <c r="Z21" s="289"/>
      <c r="AA21" s="1"/>
      <c r="AB21" s="1"/>
      <c r="AC21" s="1"/>
      <c r="AD21" s="1"/>
      <c r="AE21" s="289"/>
      <c r="AF21" s="1"/>
      <c r="AG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spans="1:62">
      <c r="A22" s="919"/>
      <c r="B22" s="175"/>
      <c r="C22" s="176"/>
      <c r="D22" s="1268"/>
      <c r="E22" s="1252"/>
      <c r="F22" s="1290"/>
      <c r="G22" s="176"/>
      <c r="H22" s="1268"/>
      <c r="I22" s="1252"/>
      <c r="J22" s="1290"/>
      <c r="K22" s="175"/>
      <c r="L22" s="1268"/>
      <c r="M22" s="182"/>
      <c r="N22" s="1313"/>
      <c r="O22" s="182"/>
      <c r="P22" s="1332"/>
      <c r="Q22" s="175"/>
      <c r="R22" s="1346"/>
      <c r="S22" s="175"/>
      <c r="T22" s="1362"/>
      <c r="U22" s="1243"/>
      <c r="V22" s="1"/>
      <c r="W22" s="1"/>
      <c r="X22" s="1"/>
      <c r="Y22" s="1"/>
      <c r="Z22" s="289"/>
      <c r="AA22" s="1"/>
      <c r="AB22" s="1"/>
      <c r="AC22" s="1"/>
      <c r="AD22" s="1"/>
      <c r="AE22" s="289"/>
      <c r="AF22" s="1"/>
      <c r="AG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spans="1:62">
      <c r="A23" s="919"/>
      <c r="B23" s="175"/>
      <c r="C23" s="176"/>
      <c r="D23" s="1268"/>
      <c r="E23" s="1252"/>
      <c r="F23" s="1290"/>
      <c r="G23" s="176"/>
      <c r="H23" s="1268"/>
      <c r="I23" s="1252"/>
      <c r="J23" s="1290"/>
      <c r="K23" s="175"/>
      <c r="L23" s="1268"/>
      <c r="M23" s="182"/>
      <c r="N23" s="1313"/>
      <c r="O23" s="182"/>
      <c r="P23" s="1332"/>
      <c r="Q23" s="175"/>
      <c r="R23" s="1346"/>
      <c r="S23" s="175"/>
      <c r="T23" s="1362"/>
      <c r="U23" s="1243"/>
      <c r="V23" s="1"/>
      <c r="W23" s="1"/>
      <c r="X23" s="1"/>
      <c r="Y23" s="1"/>
      <c r="Z23" s="289"/>
      <c r="AA23" s="1"/>
      <c r="AB23" s="1"/>
      <c r="AC23" s="1"/>
      <c r="AD23" s="1"/>
      <c r="AE23" s="289"/>
      <c r="AF23" s="1"/>
      <c r="AG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</row>
    <row r="24" spans="1:62">
      <c r="A24" s="919"/>
      <c r="B24" s="181" t="s">
        <v>411</v>
      </c>
      <c r="C24" s="176"/>
      <c r="D24" s="1268"/>
      <c r="E24" s="1252"/>
      <c r="F24" s="1290"/>
      <c r="G24" s="176"/>
      <c r="H24" s="1268"/>
      <c r="I24" s="1252"/>
      <c r="J24" s="1290"/>
      <c r="K24" s="175"/>
      <c r="L24" s="1268"/>
      <c r="M24" s="182"/>
      <c r="N24" s="1313"/>
      <c r="O24" s="182"/>
      <c r="P24" s="1332"/>
      <c r="Q24" s="175"/>
      <c r="R24" s="1346"/>
      <c r="S24" s="175"/>
      <c r="T24" s="1362"/>
      <c r="U24" s="1243"/>
      <c r="V24" s="1"/>
      <c r="W24" s="1"/>
      <c r="X24" s="1"/>
      <c r="Y24" s="1"/>
      <c r="Z24" s="289"/>
      <c r="AA24" s="1"/>
      <c r="AB24" s="1"/>
      <c r="AC24" s="1"/>
      <c r="AD24" s="1"/>
      <c r="AE24" s="289"/>
      <c r="AF24" s="1"/>
      <c r="AG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1:62" hidden="1">
      <c r="A25" s="919">
        <v>5410</v>
      </c>
      <c r="B25" s="186" t="s">
        <v>412</v>
      </c>
      <c r="C25" s="567"/>
      <c r="D25" s="1266" t="e">
        <f>C25/'Unit Mix'!$D$39</f>
        <v>#DIV/0!</v>
      </c>
      <c r="E25" s="1250"/>
      <c r="F25" s="1288" t="e">
        <f>E25/'Unit Mix'!$D$39</f>
        <v>#DIV/0!</v>
      </c>
      <c r="G25" s="567"/>
      <c r="H25" s="1266" t="e">
        <f>G25/'Unit Mix'!$D$39</f>
        <v>#DIV/0!</v>
      </c>
      <c r="I25" s="1250"/>
      <c r="J25" s="1288" t="e">
        <f>I25/'Unit Mix'!$D$39</f>
        <v>#DIV/0!</v>
      </c>
      <c r="K25" s="567"/>
      <c r="L25" s="1266" t="e">
        <f>K25/'Unit Mix'!$D$39</f>
        <v>#DIV/0!</v>
      </c>
      <c r="M25" s="891"/>
      <c r="N25" s="1311" t="e">
        <f>M25/'Unit Mix'!$D$39</f>
        <v>#DIV/0!</v>
      </c>
      <c r="O25" s="891"/>
      <c r="P25" s="1311" t="e">
        <f>O25/'Unit Mix'!$D$39</f>
        <v>#DIV/0!</v>
      </c>
      <c r="Q25" s="567">
        <f t="shared" si="0"/>
        <v>0</v>
      </c>
      <c r="R25" s="1269" t="e">
        <f t="shared" ref="R25:R29" si="4">(M25-K25)/K25</f>
        <v>#DIV/0!</v>
      </c>
      <c r="S25" s="567">
        <f t="shared" si="2"/>
        <v>0</v>
      </c>
      <c r="T25" s="1361" t="e">
        <f>IF('Input Page'!$F$53="Yes",((O25-K25)/K25),IF('Input Page'!$F$54="Yes",S25/((O25-K25)/K25),""))</f>
        <v>#DIV/0!</v>
      </c>
      <c r="U25" s="1243"/>
      <c r="V25" s="1"/>
      <c r="W25" s="1"/>
      <c r="X25" s="1"/>
      <c r="Y25" s="1"/>
      <c r="Z25" s="289"/>
      <c r="AA25" s="1"/>
      <c r="AB25" s="1"/>
      <c r="AC25" s="1"/>
      <c r="AD25" s="1"/>
      <c r="AE25" s="289"/>
      <c r="AF25" s="1"/>
      <c r="AG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</row>
    <row r="26" spans="1:62" hidden="1">
      <c r="A26" s="919">
        <v>5430</v>
      </c>
      <c r="B26" s="186" t="s">
        <v>413</v>
      </c>
      <c r="C26" s="567"/>
      <c r="D26" s="1266" t="e">
        <f>C26/'Unit Mix'!$D$39</f>
        <v>#DIV/0!</v>
      </c>
      <c r="E26" s="1250"/>
      <c r="F26" s="1288" t="e">
        <f>E26/'Unit Mix'!$D$39</f>
        <v>#DIV/0!</v>
      </c>
      <c r="G26" s="567"/>
      <c r="H26" s="1266" t="e">
        <f>G26/'Unit Mix'!$D$39</f>
        <v>#DIV/0!</v>
      </c>
      <c r="I26" s="1250"/>
      <c r="J26" s="1288" t="e">
        <f>I26/'Unit Mix'!$D$39</f>
        <v>#DIV/0!</v>
      </c>
      <c r="K26" s="567"/>
      <c r="L26" s="1266" t="e">
        <f>K26/'Unit Mix'!$D$39</f>
        <v>#DIV/0!</v>
      </c>
      <c r="M26" s="891"/>
      <c r="N26" s="1311" t="e">
        <f>M26/'Unit Mix'!$D$39</f>
        <v>#DIV/0!</v>
      </c>
      <c r="O26" s="891"/>
      <c r="P26" s="1311" t="e">
        <f>O26/'Unit Mix'!$D$39</f>
        <v>#DIV/0!</v>
      </c>
      <c r="Q26" s="567">
        <f t="shared" si="0"/>
        <v>0</v>
      </c>
      <c r="R26" s="1269" t="e">
        <f t="shared" si="4"/>
        <v>#DIV/0!</v>
      </c>
      <c r="S26" s="567">
        <f t="shared" si="2"/>
        <v>0</v>
      </c>
      <c r="T26" s="1361" t="e">
        <f>IF('Input Page'!$F$53="Yes",((O26-K26)/K26),IF('Input Page'!$F$54="Yes",S26/((O26-K26)/K26),""))</f>
        <v>#DIV/0!</v>
      </c>
      <c r="U26" s="1243"/>
      <c r="V26" s="1"/>
      <c r="W26" s="1"/>
      <c r="X26" s="1"/>
      <c r="Y26" s="1"/>
      <c r="Z26" s="289"/>
      <c r="AA26" s="1"/>
      <c r="AB26" s="1"/>
      <c r="AC26" s="1"/>
      <c r="AD26" s="1"/>
      <c r="AE26" s="289"/>
      <c r="AF26" s="1"/>
      <c r="AG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</row>
    <row r="27" spans="1:62" hidden="1">
      <c r="A27" s="919">
        <v>5440</v>
      </c>
      <c r="B27" s="186" t="s">
        <v>414</v>
      </c>
      <c r="C27" s="567"/>
      <c r="D27" s="1266" t="e">
        <f>C27/'Unit Mix'!$D$39</f>
        <v>#DIV/0!</v>
      </c>
      <c r="E27" s="1250"/>
      <c r="F27" s="1288" t="e">
        <f>E27/'Unit Mix'!$D$39</f>
        <v>#DIV/0!</v>
      </c>
      <c r="G27" s="567"/>
      <c r="H27" s="1266" t="e">
        <f>G27/'Unit Mix'!$D$39</f>
        <v>#DIV/0!</v>
      </c>
      <c r="I27" s="1250"/>
      <c r="J27" s="1288" t="e">
        <f>I27/'Unit Mix'!$D$39</f>
        <v>#DIV/0!</v>
      </c>
      <c r="K27" s="567"/>
      <c r="L27" s="1266" t="e">
        <f>K27/'Unit Mix'!$D$39</f>
        <v>#DIV/0!</v>
      </c>
      <c r="M27" s="891"/>
      <c r="N27" s="1311" t="e">
        <f>M27/'Unit Mix'!$D$39</f>
        <v>#DIV/0!</v>
      </c>
      <c r="O27" s="891"/>
      <c r="P27" s="1311" t="e">
        <f>O27/'Unit Mix'!$D$39</f>
        <v>#DIV/0!</v>
      </c>
      <c r="Q27" s="567">
        <f t="shared" si="0"/>
        <v>0</v>
      </c>
      <c r="R27" s="1269" t="e">
        <f t="shared" si="4"/>
        <v>#DIV/0!</v>
      </c>
      <c r="S27" s="567">
        <f t="shared" si="2"/>
        <v>0</v>
      </c>
      <c r="T27" s="1361" t="e">
        <f>IF('Input Page'!$F$53="Yes",((O27-K27)/K27),IF('Input Page'!$F$54="Yes",S27/((O27-K27)/K27),""))</f>
        <v>#DIV/0!</v>
      </c>
      <c r="U27" s="1243"/>
      <c r="V27" s="1"/>
      <c r="W27" s="1"/>
      <c r="X27" s="1"/>
      <c r="Y27" s="1"/>
      <c r="Z27" s="289"/>
      <c r="AA27" s="1"/>
      <c r="AB27" s="1"/>
      <c r="AC27" s="1"/>
      <c r="AD27" s="1"/>
      <c r="AE27" s="289"/>
      <c r="AF27" s="1"/>
      <c r="AG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</row>
    <row r="28" spans="1:62">
      <c r="A28" s="919">
        <v>5490</v>
      </c>
      <c r="B28" s="186" t="s">
        <v>415</v>
      </c>
      <c r="C28" s="635"/>
      <c r="D28" s="1267" t="e">
        <f>C28/'Unit Mix'!$D$39</f>
        <v>#DIV/0!</v>
      </c>
      <c r="E28" s="1251"/>
      <c r="F28" s="1289" t="e">
        <f>E28/'Unit Mix'!$D$39</f>
        <v>#DIV/0!</v>
      </c>
      <c r="G28" s="635"/>
      <c r="H28" s="1267" t="e">
        <f>G28/'Unit Mix'!$D$39</f>
        <v>#DIV/0!</v>
      </c>
      <c r="I28" s="1251"/>
      <c r="J28" s="1289" t="e">
        <f>I28/'Unit Mix'!$D$39</f>
        <v>#DIV/0!</v>
      </c>
      <c r="K28" s="635"/>
      <c r="L28" s="1267" t="e">
        <f>K28/'Unit Mix'!$D$39</f>
        <v>#DIV/0!</v>
      </c>
      <c r="M28" s="892"/>
      <c r="N28" s="1312" t="e">
        <f>M28/'Unit Mix'!$D$39</f>
        <v>#DIV/0!</v>
      </c>
      <c r="O28" s="892"/>
      <c r="P28" s="1312" t="e">
        <f>O28/'Unit Mix'!$D$39</f>
        <v>#DIV/0!</v>
      </c>
      <c r="Q28" s="635">
        <f t="shared" si="0"/>
        <v>0</v>
      </c>
      <c r="R28" s="1270" t="e">
        <f t="shared" si="4"/>
        <v>#DIV/0!</v>
      </c>
      <c r="S28" s="635">
        <f t="shared" si="2"/>
        <v>0</v>
      </c>
      <c r="T28" s="1314" t="e">
        <f>IF('Input Page'!$F$53="Yes",((O28-K28)/K28),IF('Input Page'!$F$54="Yes",S28/((O28-K28)/K28),""))</f>
        <v>#DIV/0!</v>
      </c>
      <c r="U28" s="1243"/>
      <c r="V28" s="1"/>
      <c r="W28" s="1"/>
      <c r="X28" s="1"/>
      <c r="Y28" s="1"/>
      <c r="Z28" s="289"/>
      <c r="AA28" s="1"/>
      <c r="AB28" s="1"/>
      <c r="AC28" s="1"/>
      <c r="AD28" s="1"/>
      <c r="AE28" s="289"/>
      <c r="AF28" s="1"/>
      <c r="AG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spans="1:62">
      <c r="A29" s="919"/>
      <c r="B29" s="175"/>
      <c r="C29" s="567">
        <f>SUM(C25:C28)</f>
        <v>0</v>
      </c>
      <c r="D29" s="1266" t="e">
        <f>C29/'Unit Mix'!$D$39</f>
        <v>#DIV/0!</v>
      </c>
      <c r="E29" s="1250">
        <f>SUM(E25:E28)</f>
        <v>0</v>
      </c>
      <c r="F29" s="1288" t="e">
        <f>E29/'Unit Mix'!$D$39</f>
        <v>#DIV/0!</v>
      </c>
      <c r="G29" s="567">
        <f>SUM(G25:G28)</f>
        <v>0</v>
      </c>
      <c r="H29" s="1266" t="e">
        <f>G29/'Unit Mix'!$D$39</f>
        <v>#DIV/0!</v>
      </c>
      <c r="I29" s="1250">
        <f>SUM(I25:I28)</f>
        <v>0</v>
      </c>
      <c r="J29" s="1288" t="e">
        <f>I29/'Unit Mix'!$D$39</f>
        <v>#DIV/0!</v>
      </c>
      <c r="K29" s="567">
        <f>SUM(K25:K28)</f>
        <v>0</v>
      </c>
      <c r="L29" s="1266" t="e">
        <f>K29/'Unit Mix'!$D$39</f>
        <v>#DIV/0!</v>
      </c>
      <c r="M29" s="891">
        <f>SUM(M25:M28)</f>
        <v>0</v>
      </c>
      <c r="N29" s="1311" t="e">
        <f>M29/'Unit Mix'!$D$39</f>
        <v>#DIV/0!</v>
      </c>
      <c r="O29" s="891">
        <f>SUM(O25:O28)</f>
        <v>0</v>
      </c>
      <c r="P29" s="1311" t="e">
        <f>O29/'Unit Mix'!$D$39</f>
        <v>#DIV/0!</v>
      </c>
      <c r="Q29" s="567">
        <f t="shared" si="0"/>
        <v>0</v>
      </c>
      <c r="R29" s="1269" t="e">
        <f t="shared" si="4"/>
        <v>#DIV/0!</v>
      </c>
      <c r="S29" s="567">
        <f t="shared" si="2"/>
        <v>0</v>
      </c>
      <c r="T29" s="1361" t="e">
        <f>IF('Input Page'!$F$53="Yes",((O29-K29)/K29),IF('Input Page'!$F$54="Yes",S29/((O29-K29)/K29),""))</f>
        <v>#DIV/0!</v>
      </c>
      <c r="U29" s="1243"/>
      <c r="V29" s="1"/>
      <c r="W29" s="1"/>
      <c r="X29" s="1"/>
      <c r="Y29" s="1"/>
      <c r="Z29" s="289"/>
      <c r="AA29" s="1"/>
      <c r="AB29" s="1"/>
      <c r="AC29" s="1"/>
      <c r="AD29" s="1"/>
      <c r="AE29" s="289"/>
      <c r="AF29" s="1"/>
      <c r="AG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</row>
    <row r="30" spans="1:62">
      <c r="A30" s="919"/>
      <c r="B30" s="175"/>
      <c r="C30" s="176"/>
      <c r="D30" s="1268"/>
      <c r="E30" s="1252"/>
      <c r="F30" s="1290"/>
      <c r="G30" s="176"/>
      <c r="H30" s="1268"/>
      <c r="I30" s="1252"/>
      <c r="J30" s="1290"/>
      <c r="K30" s="175"/>
      <c r="L30" s="1268"/>
      <c r="M30" s="182"/>
      <c r="N30" s="1313"/>
      <c r="O30" s="182"/>
      <c r="P30" s="1332"/>
      <c r="Q30" s="175"/>
      <c r="R30" s="1346"/>
      <c r="S30" s="175"/>
      <c r="T30" s="1362"/>
      <c r="U30" s="1243"/>
      <c r="V30" s="1"/>
      <c r="W30" s="1"/>
      <c r="X30" s="1"/>
      <c r="Y30" s="1"/>
      <c r="Z30" s="289"/>
      <c r="AA30" s="1"/>
      <c r="AB30" s="1"/>
      <c r="AC30" s="1"/>
      <c r="AD30" s="1"/>
      <c r="AE30" s="289"/>
      <c r="AF30" s="1"/>
      <c r="AG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</row>
    <row r="31" spans="1:62">
      <c r="A31" s="919"/>
      <c r="B31" s="181" t="s">
        <v>416</v>
      </c>
      <c r="C31" s="176"/>
      <c r="D31" s="1268"/>
      <c r="E31" s="1252"/>
      <c r="F31" s="1290"/>
      <c r="G31" s="176"/>
      <c r="H31" s="1268"/>
      <c r="I31" s="1252"/>
      <c r="J31" s="1290"/>
      <c r="K31" s="175"/>
      <c r="L31" s="1268"/>
      <c r="M31" s="182"/>
      <c r="N31" s="1313"/>
      <c r="O31" s="182"/>
      <c r="P31" s="1332"/>
      <c r="Q31" s="175"/>
      <c r="R31" s="1346"/>
      <c r="S31" s="175"/>
      <c r="T31" s="1362"/>
      <c r="U31" s="1243" t="s">
        <v>631</v>
      </c>
      <c r="V31" s="1"/>
      <c r="W31" s="1"/>
      <c r="X31" s="1"/>
      <c r="Y31" s="1"/>
      <c r="Z31" s="289"/>
      <c r="AA31" s="1"/>
      <c r="AB31" s="1"/>
      <c r="AC31" s="1"/>
      <c r="AD31" s="1"/>
      <c r="AE31" s="289"/>
      <c r="AF31" s="1"/>
      <c r="AG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</row>
    <row r="32" spans="1:62">
      <c r="A32" s="919">
        <v>5910</v>
      </c>
      <c r="B32" s="186" t="s">
        <v>417</v>
      </c>
      <c r="C32" s="567"/>
      <c r="D32" s="1266" t="e">
        <f>C32/'Unit Mix'!$D$39</f>
        <v>#DIV/0!</v>
      </c>
      <c r="E32" s="1250"/>
      <c r="F32" s="1288" t="e">
        <f>E32/'Unit Mix'!$D$39</f>
        <v>#DIV/0!</v>
      </c>
      <c r="G32" s="567"/>
      <c r="H32" s="1266" t="e">
        <f>G32/'Unit Mix'!$D$39</f>
        <v>#DIV/0!</v>
      </c>
      <c r="I32" s="1250"/>
      <c r="J32" s="1288" t="e">
        <f>I32/'Unit Mix'!$D$39</f>
        <v>#DIV/0!</v>
      </c>
      <c r="K32" s="567"/>
      <c r="L32" s="1266" t="e">
        <f>K32/'Unit Mix'!$D$39</f>
        <v>#DIV/0!</v>
      </c>
      <c r="M32" s="891"/>
      <c r="N32" s="1311" t="e">
        <f>M32/'Unit Mix'!$D$39</f>
        <v>#DIV/0!</v>
      </c>
      <c r="O32" s="891"/>
      <c r="P32" s="1311" t="e">
        <f>O32/'Unit Mix'!$D$39</f>
        <v>#DIV/0!</v>
      </c>
      <c r="Q32" s="567">
        <f t="shared" si="0"/>
        <v>0</v>
      </c>
      <c r="R32" s="1269" t="e">
        <f t="shared" ref="R32:R37" si="5">(M32-K32)/K32</f>
        <v>#DIV/0!</v>
      </c>
      <c r="S32" s="567">
        <f t="shared" si="2"/>
        <v>0</v>
      </c>
      <c r="T32" s="1361" t="e">
        <f>IF('Input Page'!$F$53="Yes",((O32-K32)/K32),IF('Input Page'!$F$54="Yes",S32/((O32-K32)/K32),""))</f>
        <v>#DIV/0!</v>
      </c>
      <c r="U32" s="1243" t="s">
        <v>632</v>
      </c>
      <c r="V32" s="1"/>
      <c r="W32" s="1"/>
      <c r="X32" s="1"/>
      <c r="Y32" s="1"/>
      <c r="Z32" s="289"/>
      <c r="AA32" s="1"/>
      <c r="AB32" s="1"/>
      <c r="AC32" s="1"/>
      <c r="AD32" s="1"/>
      <c r="AE32" s="289"/>
      <c r="AF32" s="1"/>
      <c r="AG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1:62">
      <c r="A33" s="919">
        <v>5920</v>
      </c>
      <c r="B33" s="186" t="s">
        <v>418</v>
      </c>
      <c r="C33" s="567"/>
      <c r="D33" s="1266" t="e">
        <f>C33/'Unit Mix'!$D$39</f>
        <v>#DIV/0!</v>
      </c>
      <c r="E33" s="1250"/>
      <c r="F33" s="1288" t="e">
        <f>E33/'Unit Mix'!$D$39</f>
        <v>#DIV/0!</v>
      </c>
      <c r="G33" s="567"/>
      <c r="H33" s="1266" t="e">
        <f>G33/'Unit Mix'!$D$39</f>
        <v>#DIV/0!</v>
      </c>
      <c r="I33" s="1250"/>
      <c r="J33" s="1288" t="e">
        <f>I33/'Unit Mix'!$D$39</f>
        <v>#DIV/0!</v>
      </c>
      <c r="K33" s="567"/>
      <c r="L33" s="1266" t="e">
        <f>K33/'Unit Mix'!$D$39</f>
        <v>#DIV/0!</v>
      </c>
      <c r="M33" s="891"/>
      <c r="N33" s="1311" t="e">
        <f>M33/'Unit Mix'!$D$39</f>
        <v>#DIV/0!</v>
      </c>
      <c r="O33" s="891"/>
      <c r="P33" s="1311" t="e">
        <f>O33/'Unit Mix'!$D$39</f>
        <v>#DIV/0!</v>
      </c>
      <c r="Q33" s="567">
        <f t="shared" si="0"/>
        <v>0</v>
      </c>
      <c r="R33" s="1269" t="e">
        <f t="shared" si="5"/>
        <v>#DIV/0!</v>
      </c>
      <c r="S33" s="567">
        <f t="shared" si="2"/>
        <v>0</v>
      </c>
      <c r="T33" s="1361" t="e">
        <f>IF('Input Page'!$F$53="Yes",((O33-K33)/K33),IF('Input Page'!$F$54="Yes",S33/((O33-K33)/K33),""))</f>
        <v>#DIV/0!</v>
      </c>
      <c r="U33" s="1243"/>
      <c r="V33" s="1"/>
      <c r="W33" s="1"/>
      <c r="X33" s="1"/>
      <c r="Y33" s="1"/>
      <c r="Z33" s="289"/>
      <c r="AA33" s="1"/>
      <c r="AB33" s="1"/>
      <c r="AC33" s="1"/>
      <c r="AD33" s="1"/>
      <c r="AE33" s="289"/>
      <c r="AF33" s="1"/>
      <c r="AG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spans="1:62">
      <c r="A34" s="919">
        <v>5930</v>
      </c>
      <c r="B34" s="186" t="s">
        <v>419</v>
      </c>
      <c r="C34" s="567"/>
      <c r="D34" s="1266" t="e">
        <f>C34/'Unit Mix'!$D$39</f>
        <v>#DIV/0!</v>
      </c>
      <c r="E34" s="1250"/>
      <c r="F34" s="1288" t="e">
        <f>E34/'Unit Mix'!$D$39</f>
        <v>#DIV/0!</v>
      </c>
      <c r="G34" s="567"/>
      <c r="H34" s="1266" t="e">
        <f>G34/'Unit Mix'!$D$39</f>
        <v>#DIV/0!</v>
      </c>
      <c r="I34" s="1250"/>
      <c r="J34" s="1288" t="e">
        <f>I34/'Unit Mix'!$D$39</f>
        <v>#DIV/0!</v>
      </c>
      <c r="K34" s="567"/>
      <c r="L34" s="1266" t="e">
        <f>K34/'Unit Mix'!$D$39</f>
        <v>#DIV/0!</v>
      </c>
      <c r="M34" s="891"/>
      <c r="N34" s="1311" t="e">
        <f>M34/'Unit Mix'!$D$39</f>
        <v>#DIV/0!</v>
      </c>
      <c r="O34" s="891"/>
      <c r="P34" s="1311" t="e">
        <f>O34/'Unit Mix'!$D$39</f>
        <v>#DIV/0!</v>
      </c>
      <c r="Q34" s="567">
        <f t="shared" si="0"/>
        <v>0</v>
      </c>
      <c r="R34" s="1269" t="e">
        <f t="shared" si="5"/>
        <v>#DIV/0!</v>
      </c>
      <c r="S34" s="567">
        <f t="shared" si="2"/>
        <v>0</v>
      </c>
      <c r="T34" s="1361" t="e">
        <f>IF('Input Page'!$F$53="Yes",((O34-K34)/K34),IF('Input Page'!$F$54="Yes",S34/((O34-K34)/K34),""))</f>
        <v>#DIV/0!</v>
      </c>
      <c r="U34" s="1243"/>
      <c r="V34" s="1"/>
      <c r="W34" s="1"/>
      <c r="X34" s="1"/>
      <c r="Y34" s="1"/>
      <c r="Z34" s="289"/>
      <c r="AA34" s="1"/>
      <c r="AB34" s="1"/>
      <c r="AC34" s="1"/>
      <c r="AD34" s="1"/>
      <c r="AE34" s="289"/>
      <c r="AF34" s="1"/>
      <c r="AG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2">
      <c r="A35" s="919">
        <v>5940</v>
      </c>
      <c r="B35" s="186" t="s">
        <v>420</v>
      </c>
      <c r="C35" s="567"/>
      <c r="D35" s="1266" t="e">
        <f>C35/'Unit Mix'!$D$39</f>
        <v>#DIV/0!</v>
      </c>
      <c r="E35" s="1250"/>
      <c r="F35" s="1288" t="e">
        <f>E35/'Unit Mix'!$D$39</f>
        <v>#DIV/0!</v>
      </c>
      <c r="G35" s="567"/>
      <c r="H35" s="1266" t="e">
        <f>G35/'Unit Mix'!$D$39</f>
        <v>#DIV/0!</v>
      </c>
      <c r="I35" s="1250"/>
      <c r="J35" s="1288" t="e">
        <f>I35/'Unit Mix'!$D$39</f>
        <v>#DIV/0!</v>
      </c>
      <c r="K35" s="567"/>
      <c r="L35" s="1266" t="e">
        <f>K35/'Unit Mix'!$D$39</f>
        <v>#DIV/0!</v>
      </c>
      <c r="M35" s="891"/>
      <c r="N35" s="1311" t="e">
        <f>M35/'Unit Mix'!$D$39</f>
        <v>#DIV/0!</v>
      </c>
      <c r="O35" s="891"/>
      <c r="P35" s="1311" t="e">
        <f>O35/'Unit Mix'!$D$39</f>
        <v>#DIV/0!</v>
      </c>
      <c r="Q35" s="567">
        <f t="shared" si="0"/>
        <v>0</v>
      </c>
      <c r="R35" s="1269" t="e">
        <f t="shared" si="5"/>
        <v>#DIV/0!</v>
      </c>
      <c r="S35" s="567">
        <f t="shared" si="2"/>
        <v>0</v>
      </c>
      <c r="T35" s="1361" t="e">
        <f>IF('Input Page'!$F$53="Yes",((O35-K35)/K35),IF('Input Page'!$F$54="Yes",S35/((O35-K35)/K35),""))</f>
        <v>#DIV/0!</v>
      </c>
      <c r="U35" s="1243"/>
      <c r="V35" s="1"/>
      <c r="W35" s="1"/>
      <c r="X35" s="1"/>
      <c r="Y35" s="1"/>
      <c r="Z35" s="289"/>
      <c r="AA35" s="1"/>
      <c r="AB35" s="1"/>
      <c r="AC35" s="1"/>
      <c r="AD35" s="1"/>
      <c r="AE35" s="289"/>
      <c r="AF35" s="1"/>
      <c r="AG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2">
      <c r="A36" s="919">
        <v>5990</v>
      </c>
      <c r="B36" s="186" t="s">
        <v>421</v>
      </c>
      <c r="C36" s="635"/>
      <c r="D36" s="1267" t="e">
        <f>C36/'Unit Mix'!$D$39</f>
        <v>#DIV/0!</v>
      </c>
      <c r="E36" s="1251"/>
      <c r="F36" s="1289" t="e">
        <f>E36/'Unit Mix'!$D$39</f>
        <v>#DIV/0!</v>
      </c>
      <c r="G36" s="635"/>
      <c r="H36" s="1267" t="e">
        <f>G36/'Unit Mix'!$D$39</f>
        <v>#DIV/0!</v>
      </c>
      <c r="I36" s="1251"/>
      <c r="J36" s="1289" t="e">
        <f>I36/'Unit Mix'!$D$39</f>
        <v>#DIV/0!</v>
      </c>
      <c r="K36" s="635"/>
      <c r="L36" s="1267" t="e">
        <f>K36/'Unit Mix'!$D$39</f>
        <v>#DIV/0!</v>
      </c>
      <c r="M36" s="892"/>
      <c r="N36" s="1312" t="e">
        <f>M36/'Unit Mix'!$D$39</f>
        <v>#DIV/0!</v>
      </c>
      <c r="O36" s="892"/>
      <c r="P36" s="1312" t="e">
        <f>O36/'Unit Mix'!$D$39</f>
        <v>#DIV/0!</v>
      </c>
      <c r="Q36" s="635">
        <f t="shared" si="0"/>
        <v>0</v>
      </c>
      <c r="R36" s="1270" t="e">
        <f t="shared" si="5"/>
        <v>#DIV/0!</v>
      </c>
      <c r="S36" s="635">
        <f t="shared" si="2"/>
        <v>0</v>
      </c>
      <c r="T36" s="1314" t="e">
        <f>IF('Input Page'!$F$53="Yes",((O36-K36)/K36),IF('Input Page'!$F$54="Yes",S36/((O36-K36)/K36),""))</f>
        <v>#DIV/0!</v>
      </c>
      <c r="U36" s="1243"/>
      <c r="V36" s="1"/>
      <c r="W36" s="1"/>
      <c r="X36" s="1"/>
      <c r="Y36" s="1"/>
      <c r="Z36" s="289"/>
      <c r="AA36" s="1"/>
      <c r="AB36" s="1"/>
      <c r="AC36" s="1"/>
      <c r="AD36" s="1"/>
      <c r="AE36" s="289"/>
      <c r="AF36" s="1"/>
      <c r="AG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</row>
    <row r="37" spans="1:62">
      <c r="A37" s="919"/>
      <c r="B37" s="175"/>
      <c r="C37" s="567">
        <f>SUM(C32:C36)</f>
        <v>0</v>
      </c>
      <c r="D37" s="1266" t="e">
        <f>C37/'Unit Mix'!$D$39</f>
        <v>#DIV/0!</v>
      </c>
      <c r="E37" s="1250">
        <f>SUM(E32:E36)</f>
        <v>0</v>
      </c>
      <c r="F37" s="1288" t="e">
        <f>E37/'Unit Mix'!$D$39</f>
        <v>#DIV/0!</v>
      </c>
      <c r="G37" s="567">
        <f>SUM(G32:G36)</f>
        <v>0</v>
      </c>
      <c r="H37" s="1266" t="e">
        <f>G37/'Unit Mix'!$D$39</f>
        <v>#DIV/0!</v>
      </c>
      <c r="I37" s="1250">
        <f>SUM(I32:I36)</f>
        <v>0</v>
      </c>
      <c r="J37" s="1288" t="e">
        <f>I37/'Unit Mix'!$D$39</f>
        <v>#DIV/0!</v>
      </c>
      <c r="K37" s="567">
        <f>SUM(K32:K36)</f>
        <v>0</v>
      </c>
      <c r="L37" s="1266" t="e">
        <f>K37/'Unit Mix'!$D$39</f>
        <v>#DIV/0!</v>
      </c>
      <c r="M37" s="891">
        <f>SUM(M32:M36)</f>
        <v>0</v>
      </c>
      <c r="N37" s="1311" t="e">
        <f>M37/'Unit Mix'!$D$39</f>
        <v>#DIV/0!</v>
      </c>
      <c r="O37" s="891">
        <f>SUM(O32:O36)</f>
        <v>0</v>
      </c>
      <c r="P37" s="1311" t="e">
        <f>O37/'Unit Mix'!$D$39</f>
        <v>#DIV/0!</v>
      </c>
      <c r="Q37" s="567">
        <f t="shared" si="0"/>
        <v>0</v>
      </c>
      <c r="R37" s="1269" t="e">
        <f t="shared" si="5"/>
        <v>#DIV/0!</v>
      </c>
      <c r="S37" s="567">
        <f t="shared" si="2"/>
        <v>0</v>
      </c>
      <c r="T37" s="1361" t="e">
        <f>IF('Input Page'!$F$53="Yes",((O37-K37)/K37),IF('Input Page'!$F$54="Yes",S37/((O37-K37)/K37),""))</f>
        <v>#DIV/0!</v>
      </c>
      <c r="U37" s="1243"/>
      <c r="V37" s="1"/>
      <c r="W37" s="1"/>
      <c r="X37" s="1"/>
      <c r="Y37" s="1"/>
      <c r="Z37" s="289"/>
      <c r="AA37" s="1"/>
      <c r="AB37" s="1"/>
      <c r="AC37" s="1"/>
      <c r="AD37" s="1"/>
      <c r="AE37" s="289"/>
      <c r="AF37" s="1"/>
      <c r="AG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</row>
    <row r="38" spans="1:62">
      <c r="A38" s="919"/>
      <c r="B38" s="175"/>
      <c r="C38" s="175"/>
      <c r="D38" s="1263"/>
      <c r="E38" s="1249"/>
      <c r="F38" s="1287"/>
      <c r="G38" s="175"/>
      <c r="H38" s="1263"/>
      <c r="I38" s="1249"/>
      <c r="J38" s="1287"/>
      <c r="K38" s="175"/>
      <c r="L38" s="1263"/>
      <c r="M38" s="182"/>
      <c r="N38" s="1313"/>
      <c r="O38" s="182"/>
      <c r="P38" s="1313"/>
      <c r="Q38" s="175"/>
      <c r="R38" s="1346"/>
      <c r="S38" s="175"/>
      <c r="T38" s="1362"/>
      <c r="U38" s="1243"/>
      <c r="V38" s="1"/>
      <c r="W38" s="1"/>
      <c r="X38" s="1"/>
      <c r="Y38" s="1"/>
      <c r="Z38" s="289"/>
      <c r="AA38" s="1"/>
      <c r="AB38" s="1"/>
      <c r="AC38" s="1"/>
      <c r="AD38" s="1"/>
      <c r="AE38" s="289"/>
      <c r="AF38" s="1"/>
      <c r="AG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1:62">
      <c r="A39" s="919"/>
      <c r="B39" s="175"/>
      <c r="C39" s="176"/>
      <c r="D39" s="1268"/>
      <c r="E39" s="1252"/>
      <c r="F39" s="1290"/>
      <c r="G39" s="176"/>
      <c r="H39" s="1268"/>
      <c r="I39" s="1252"/>
      <c r="J39" s="1290"/>
      <c r="K39" s="175"/>
      <c r="L39" s="1268"/>
      <c r="M39" s="182"/>
      <c r="N39" s="1313"/>
      <c r="O39" s="182"/>
      <c r="P39" s="1332"/>
      <c r="Q39" s="175"/>
      <c r="R39" s="1346"/>
      <c r="S39" s="175"/>
      <c r="T39" s="1362"/>
      <c r="U39" s="1243"/>
      <c r="V39" s="1"/>
      <c r="W39" s="1"/>
      <c r="X39" s="1"/>
      <c r="Y39" s="1"/>
      <c r="Z39" s="289"/>
      <c r="AA39" s="1"/>
      <c r="AB39" s="1"/>
      <c r="AC39" s="1"/>
      <c r="AD39" s="1"/>
      <c r="AE39" s="289"/>
      <c r="AF39" s="1"/>
      <c r="AG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</row>
    <row r="40" spans="1:62">
      <c r="A40" s="919"/>
      <c r="B40" s="189" t="s">
        <v>319</v>
      </c>
      <c r="C40" s="773">
        <f t="shared" ref="C40:O40" si="6">C37+C29+C21</f>
        <v>0</v>
      </c>
      <c r="D40" s="1272" t="e">
        <f t="shared" si="6"/>
        <v>#DIV/0!</v>
      </c>
      <c r="E40" s="1254">
        <f t="shared" si="6"/>
        <v>0</v>
      </c>
      <c r="F40" s="1293" t="e">
        <f t="shared" si="6"/>
        <v>#DIV/0!</v>
      </c>
      <c r="G40" s="773">
        <f t="shared" si="6"/>
        <v>0</v>
      </c>
      <c r="H40" s="1272" t="e">
        <f t="shared" si="6"/>
        <v>#DIV/0!</v>
      </c>
      <c r="I40" s="1254">
        <f t="shared" si="6"/>
        <v>0</v>
      </c>
      <c r="J40" s="1293" t="e">
        <f t="shared" si="6"/>
        <v>#DIV/0!</v>
      </c>
      <c r="K40" s="773">
        <f>K37+K29+K21</f>
        <v>0</v>
      </c>
      <c r="L40" s="1272" t="e">
        <f t="shared" si="6"/>
        <v>#DIV/0!</v>
      </c>
      <c r="M40" s="894">
        <f t="shared" si="6"/>
        <v>0</v>
      </c>
      <c r="N40" s="1316" t="e">
        <f t="shared" si="6"/>
        <v>#DIV/0!</v>
      </c>
      <c r="O40" s="894">
        <f t="shared" si="6"/>
        <v>0</v>
      </c>
      <c r="P40" s="1316" t="e">
        <f>P37+P29+P21</f>
        <v>#DIV/0!</v>
      </c>
      <c r="Q40" s="773">
        <f t="shared" si="0"/>
        <v>0</v>
      </c>
      <c r="R40" s="1347" t="e">
        <f t="shared" ref="R40" si="7">(M40-K40)/K40</f>
        <v>#DIV/0!</v>
      </c>
      <c r="S40" s="773">
        <f t="shared" si="2"/>
        <v>0</v>
      </c>
      <c r="T40" s="1363" t="e">
        <f>IF('Input Page'!$F$53="Yes",((O40-K40)/K40),IF('Input Page'!$F$54="Yes",S40/((O40-K40)/K40),""))</f>
        <v>#DIV/0!</v>
      </c>
      <c r="U40" s="1243"/>
      <c r="V40" s="1"/>
      <c r="W40" s="1"/>
      <c r="X40" s="1"/>
      <c r="Y40" s="1"/>
      <c r="Z40" s="289"/>
      <c r="AA40" s="1"/>
      <c r="AB40" s="1"/>
      <c r="AC40" s="1"/>
      <c r="AD40" s="1"/>
      <c r="AE40" s="289"/>
      <c r="AF40" s="1"/>
      <c r="AG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</row>
    <row r="41" spans="1:62">
      <c r="A41" s="919"/>
      <c r="B41" s="189"/>
      <c r="C41" s="785"/>
      <c r="D41" s="1273"/>
      <c r="E41" s="1255"/>
      <c r="F41" s="1294"/>
      <c r="G41" s="785"/>
      <c r="H41" s="1273"/>
      <c r="I41" s="1255"/>
      <c r="J41" s="1294"/>
      <c r="K41" s="785"/>
      <c r="L41" s="1273"/>
      <c r="M41" s="895"/>
      <c r="N41" s="1317"/>
      <c r="O41" s="895"/>
      <c r="P41" s="1317"/>
      <c r="Q41" s="785"/>
      <c r="R41" s="1348"/>
      <c r="S41" s="785"/>
      <c r="T41" s="1364"/>
      <c r="U41" s="1243"/>
      <c r="V41" s="1"/>
      <c r="W41" s="1"/>
      <c r="X41" s="1"/>
      <c r="Y41" s="1"/>
      <c r="Z41" s="289"/>
      <c r="AA41" s="1"/>
      <c r="AB41" s="1"/>
      <c r="AC41" s="1"/>
      <c r="AD41" s="1"/>
      <c r="AE41" s="289"/>
      <c r="AF41" s="1"/>
      <c r="AG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</row>
    <row r="42" spans="1:62">
      <c r="A42" s="919"/>
      <c r="B42" s="181" t="s">
        <v>422</v>
      </c>
      <c r="C42" s="176"/>
      <c r="D42" s="1268"/>
      <c r="E42" s="1252"/>
      <c r="F42" s="1290"/>
      <c r="G42" s="176"/>
      <c r="H42" s="1268"/>
      <c r="I42" s="1252"/>
      <c r="J42" s="1290"/>
      <c r="K42" s="175"/>
      <c r="L42" s="1268"/>
      <c r="M42" s="182"/>
      <c r="N42" s="1313"/>
      <c r="O42" s="182"/>
      <c r="P42" s="1332"/>
      <c r="Q42" s="175"/>
      <c r="R42" s="1346"/>
      <c r="S42" s="175"/>
      <c r="T42" s="1362"/>
      <c r="U42" s="1243"/>
      <c r="V42" s="1"/>
      <c r="W42" s="1"/>
      <c r="X42" s="1"/>
      <c r="Y42" s="1"/>
      <c r="Z42" s="289"/>
      <c r="AA42" s="1"/>
      <c r="AB42" s="1"/>
      <c r="AC42" s="1"/>
      <c r="AD42" s="1"/>
      <c r="AE42" s="289"/>
      <c r="AF42" s="1"/>
      <c r="AG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</row>
    <row r="43" spans="1:62">
      <c r="A43" s="919"/>
      <c r="B43" s="181" t="s">
        <v>423</v>
      </c>
      <c r="C43" s="176"/>
      <c r="D43" s="1268"/>
      <c r="E43" s="1252"/>
      <c r="F43" s="1290"/>
      <c r="G43" s="176"/>
      <c r="H43" s="1268"/>
      <c r="I43" s="1252"/>
      <c r="J43" s="1290"/>
      <c r="K43" s="175"/>
      <c r="L43" s="1268"/>
      <c r="M43" s="182"/>
      <c r="N43" s="1313"/>
      <c r="O43" s="182"/>
      <c r="P43" s="1332"/>
      <c r="Q43" s="175"/>
      <c r="R43" s="1346"/>
      <c r="S43" s="175"/>
      <c r="T43" s="1362"/>
      <c r="U43" s="1243"/>
      <c r="V43" s="1"/>
      <c r="W43" s="1"/>
      <c r="X43" s="1"/>
      <c r="Y43" s="1"/>
      <c r="Z43" s="289"/>
      <c r="AA43" s="1"/>
      <c r="AB43" s="1"/>
      <c r="AC43" s="1"/>
      <c r="AD43" s="1"/>
      <c r="AE43" s="289"/>
      <c r="AF43" s="1"/>
      <c r="AG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</row>
    <row r="44" spans="1:62" hidden="1">
      <c r="A44" s="919">
        <v>6203</v>
      </c>
      <c r="B44" s="186" t="s">
        <v>424</v>
      </c>
      <c r="C44" s="567"/>
      <c r="D44" s="1266" t="e">
        <f>C44/'Unit Mix'!$D$39</f>
        <v>#DIV/0!</v>
      </c>
      <c r="E44" s="1250"/>
      <c r="F44" s="1288" t="e">
        <f>E44/'Unit Mix'!$D$39</f>
        <v>#DIV/0!</v>
      </c>
      <c r="G44" s="567"/>
      <c r="H44" s="1266" t="e">
        <f>G44/'Unit Mix'!$D$39</f>
        <v>#DIV/0!</v>
      </c>
      <c r="I44" s="1250"/>
      <c r="J44" s="1288" t="e">
        <f>I44/'Unit Mix'!$D$39</f>
        <v>#DIV/0!</v>
      </c>
      <c r="K44" s="567"/>
      <c r="L44" s="1266" t="e">
        <f>K44/'Unit Mix'!$D$39</f>
        <v>#DIV/0!</v>
      </c>
      <c r="M44" s="891"/>
      <c r="N44" s="1311" t="e">
        <f>M44/'Unit Mix'!$D$39</f>
        <v>#DIV/0!</v>
      </c>
      <c r="O44" s="891"/>
      <c r="P44" s="1311" t="e">
        <f>O44/'Unit Mix'!$D$39</f>
        <v>#DIV/0!</v>
      </c>
      <c r="Q44" s="567">
        <f t="shared" si="0"/>
        <v>0</v>
      </c>
      <c r="R44" s="1269" t="e">
        <f t="shared" ref="R44:R64" si="8">(M44-K44)/K44</f>
        <v>#DIV/0!</v>
      </c>
      <c r="S44" s="567">
        <f t="shared" si="2"/>
        <v>0</v>
      </c>
      <c r="T44" s="1361" t="e">
        <f>IF('Input Page'!$F$53="Yes",((O44-K44)/K44),IF('Input Page'!$F$54="Yes",S44/((O44-K44)/K44),""))</f>
        <v>#DIV/0!</v>
      </c>
      <c r="U44" s="1243"/>
      <c r="V44" s="1"/>
      <c r="W44" s="1"/>
      <c r="X44" s="1"/>
      <c r="Y44" s="1"/>
      <c r="Z44" s="289"/>
      <c r="AA44" s="1"/>
      <c r="AB44" s="1"/>
      <c r="AC44" s="1"/>
      <c r="AD44" s="1"/>
      <c r="AE44" s="289"/>
      <c r="AF44" s="1"/>
      <c r="AG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</row>
    <row r="45" spans="1:62">
      <c r="A45" s="919">
        <v>6204</v>
      </c>
      <c r="B45" s="186" t="s">
        <v>425</v>
      </c>
      <c r="C45" s="567"/>
      <c r="D45" s="1266" t="e">
        <f>C45/'Unit Mix'!$D$39</f>
        <v>#DIV/0!</v>
      </c>
      <c r="E45" s="1250"/>
      <c r="F45" s="1288" t="e">
        <f>E45/'Unit Mix'!$D$39</f>
        <v>#DIV/0!</v>
      </c>
      <c r="G45" s="567"/>
      <c r="H45" s="1266" t="e">
        <f>G45/'Unit Mix'!$D$39</f>
        <v>#DIV/0!</v>
      </c>
      <c r="I45" s="1250"/>
      <c r="J45" s="1288" t="e">
        <f>I45/'Unit Mix'!$D$39</f>
        <v>#DIV/0!</v>
      </c>
      <c r="K45" s="567"/>
      <c r="L45" s="1266" t="e">
        <f>K45/'Unit Mix'!$D$39</f>
        <v>#DIV/0!</v>
      </c>
      <c r="M45" s="891"/>
      <c r="N45" s="1311" t="e">
        <f>M45/'Unit Mix'!$D$39</f>
        <v>#DIV/0!</v>
      </c>
      <c r="O45" s="891"/>
      <c r="P45" s="1311" t="e">
        <f>O45/'Unit Mix'!$D$39</f>
        <v>#DIV/0!</v>
      </c>
      <c r="Q45" s="567">
        <f t="shared" si="0"/>
        <v>0</v>
      </c>
      <c r="R45" s="1269" t="e">
        <f t="shared" si="8"/>
        <v>#DIV/0!</v>
      </c>
      <c r="S45" s="567">
        <f t="shared" si="2"/>
        <v>0</v>
      </c>
      <c r="T45" s="1361" t="e">
        <f>IF('Input Page'!$F$53="Yes",((O45-K45)/K45),IF('Input Page'!$F$54="Yes",S45/((O45-K45)/K45),""))</f>
        <v>#DIV/0!</v>
      </c>
      <c r="U45" s="1243"/>
      <c r="V45" s="1"/>
      <c r="W45" s="1"/>
      <c r="X45" s="1"/>
      <c r="Y45" s="1"/>
      <c r="Z45" s="289"/>
      <c r="AA45" s="1"/>
      <c r="AB45" s="1"/>
      <c r="AC45" s="1"/>
      <c r="AD45" s="1"/>
      <c r="AE45" s="289"/>
      <c r="AF45" s="1"/>
      <c r="AG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</row>
    <row r="46" spans="1:62">
      <c r="A46" s="919">
        <v>6210</v>
      </c>
      <c r="B46" s="186" t="s">
        <v>426</v>
      </c>
      <c r="C46" s="567"/>
      <c r="D46" s="1266" t="e">
        <f>C46/'Unit Mix'!$D$39</f>
        <v>#DIV/0!</v>
      </c>
      <c r="E46" s="1250"/>
      <c r="F46" s="1288" t="e">
        <f>E46/'Unit Mix'!$D$39</f>
        <v>#DIV/0!</v>
      </c>
      <c r="G46" s="567"/>
      <c r="H46" s="1266" t="e">
        <f>G46/'Unit Mix'!$D$39</f>
        <v>#DIV/0!</v>
      </c>
      <c r="I46" s="1250"/>
      <c r="J46" s="1288" t="e">
        <f>I46/'Unit Mix'!$D$39</f>
        <v>#DIV/0!</v>
      </c>
      <c r="K46" s="567"/>
      <c r="L46" s="1266" t="e">
        <f>K46/'Unit Mix'!$D$39</f>
        <v>#DIV/0!</v>
      </c>
      <c r="M46" s="891"/>
      <c r="N46" s="1311" t="e">
        <f>M46/'Unit Mix'!$D$39</f>
        <v>#DIV/0!</v>
      </c>
      <c r="O46" s="891"/>
      <c r="P46" s="1311" t="e">
        <f>O46/'Unit Mix'!$D$39</f>
        <v>#DIV/0!</v>
      </c>
      <c r="Q46" s="567">
        <f t="shared" si="0"/>
        <v>0</v>
      </c>
      <c r="R46" s="1269" t="e">
        <f t="shared" si="8"/>
        <v>#DIV/0!</v>
      </c>
      <c r="S46" s="567">
        <f t="shared" si="2"/>
        <v>0</v>
      </c>
      <c r="T46" s="1361" t="e">
        <f>IF('Input Page'!$F$53="Yes",((O46-K46)/K46),IF('Input Page'!$F$54="Yes",S46/((O46-K46)/K46),""))</f>
        <v>#DIV/0!</v>
      </c>
      <c r="U46" s="1243" t="s">
        <v>633</v>
      </c>
      <c r="V46" s="1"/>
      <c r="W46" s="1"/>
      <c r="X46" s="1"/>
      <c r="Y46" s="1"/>
      <c r="Z46" s="289"/>
      <c r="AA46" s="1"/>
      <c r="AB46" s="1"/>
      <c r="AC46" s="1"/>
      <c r="AD46" s="1"/>
      <c r="AE46" s="289"/>
      <c r="AF46" s="1"/>
      <c r="AG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</row>
    <row r="47" spans="1:62" hidden="1">
      <c r="A47" s="919">
        <v>6235</v>
      </c>
      <c r="B47" s="186" t="s">
        <v>427</v>
      </c>
      <c r="C47" s="567"/>
      <c r="D47" s="1266" t="e">
        <f>C47/'Unit Mix'!$D$39</f>
        <v>#DIV/0!</v>
      </c>
      <c r="E47" s="1250"/>
      <c r="F47" s="1288" t="e">
        <f>E47/'Unit Mix'!$D$39</f>
        <v>#DIV/0!</v>
      </c>
      <c r="G47" s="567"/>
      <c r="H47" s="1266" t="e">
        <f>G47/'Unit Mix'!$D$39</f>
        <v>#DIV/0!</v>
      </c>
      <c r="I47" s="1250"/>
      <c r="J47" s="1288" t="e">
        <f>I47/'Unit Mix'!$D$39</f>
        <v>#DIV/0!</v>
      </c>
      <c r="K47" s="567"/>
      <c r="L47" s="1266" t="e">
        <f>K47/'Unit Mix'!$D$39</f>
        <v>#DIV/0!</v>
      </c>
      <c r="M47" s="891"/>
      <c r="N47" s="1311" t="e">
        <f>M47/'Unit Mix'!$D$39</f>
        <v>#DIV/0!</v>
      </c>
      <c r="O47" s="891"/>
      <c r="P47" s="1311" t="e">
        <f>O47/'Unit Mix'!$D$39</f>
        <v>#DIV/0!</v>
      </c>
      <c r="Q47" s="567">
        <f t="shared" si="0"/>
        <v>0</v>
      </c>
      <c r="R47" s="1269" t="e">
        <f t="shared" si="8"/>
        <v>#DIV/0!</v>
      </c>
      <c r="S47" s="567">
        <f t="shared" si="2"/>
        <v>0</v>
      </c>
      <c r="T47" s="1361" t="e">
        <f>IF('Input Page'!$F$53="Yes",((O47-K47)/K47),IF('Input Page'!$F$54="Yes",S47/((O47-K47)/K47),""))</f>
        <v>#DIV/0!</v>
      </c>
      <c r="U47" s="1243" t="s">
        <v>633</v>
      </c>
      <c r="V47" s="1"/>
      <c r="W47" s="1"/>
      <c r="X47" s="1"/>
      <c r="Y47" s="1"/>
      <c r="Z47" s="289"/>
      <c r="AA47" s="1"/>
      <c r="AB47" s="1"/>
      <c r="AC47" s="1"/>
      <c r="AD47" s="1"/>
      <c r="AE47" s="289"/>
      <c r="AF47" s="1"/>
      <c r="AG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</row>
    <row r="48" spans="1:62" hidden="1">
      <c r="A48" s="919">
        <v>6250</v>
      </c>
      <c r="B48" s="186" t="s">
        <v>428</v>
      </c>
      <c r="C48" s="567"/>
      <c r="D48" s="1266" t="e">
        <f>C48/'Unit Mix'!$D$39</f>
        <v>#DIV/0!</v>
      </c>
      <c r="E48" s="1250"/>
      <c r="F48" s="1288" t="e">
        <f>E48/'Unit Mix'!$D$39</f>
        <v>#DIV/0!</v>
      </c>
      <c r="G48" s="567"/>
      <c r="H48" s="1266" t="e">
        <f>G48/'Unit Mix'!$D$39</f>
        <v>#DIV/0!</v>
      </c>
      <c r="I48" s="1250"/>
      <c r="J48" s="1288" t="e">
        <f>I48/'Unit Mix'!$D$39</f>
        <v>#DIV/0!</v>
      </c>
      <c r="K48" s="567"/>
      <c r="L48" s="1266" t="e">
        <f>K48/'Unit Mix'!$D$39</f>
        <v>#DIV/0!</v>
      </c>
      <c r="M48" s="891"/>
      <c r="N48" s="1311" t="e">
        <f>M48/'Unit Mix'!$D$39</f>
        <v>#DIV/0!</v>
      </c>
      <c r="O48" s="891"/>
      <c r="P48" s="1311" t="e">
        <f>O48/'Unit Mix'!$D$39</f>
        <v>#DIV/0!</v>
      </c>
      <c r="Q48" s="567">
        <f t="shared" si="0"/>
        <v>0</v>
      </c>
      <c r="R48" s="1269" t="e">
        <f t="shared" si="8"/>
        <v>#DIV/0!</v>
      </c>
      <c r="S48" s="567">
        <f t="shared" si="2"/>
        <v>0</v>
      </c>
      <c r="T48" s="1361" t="e">
        <f>IF('Input Page'!$F$53="Yes",((O48-K48)/K48),IF('Input Page'!$F$54="Yes",S48/((O48-K48)/K48),""))</f>
        <v>#DIV/0!</v>
      </c>
      <c r="U48" s="1243" t="s">
        <v>634</v>
      </c>
      <c r="V48" s="1"/>
      <c r="W48" s="1"/>
      <c r="X48" s="1"/>
      <c r="Y48" s="1"/>
      <c r="Z48" s="289"/>
      <c r="AA48" s="1"/>
      <c r="AB48" s="1"/>
      <c r="AC48" s="1"/>
      <c r="AD48" s="1"/>
      <c r="AE48" s="289"/>
      <c r="AF48" s="1"/>
      <c r="AG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</row>
    <row r="49" spans="1:62" hidden="1">
      <c r="A49" s="919">
        <v>6310</v>
      </c>
      <c r="B49" s="186" t="s">
        <v>429</v>
      </c>
      <c r="C49" s="567"/>
      <c r="D49" s="1266" t="e">
        <f>C49/'Unit Mix'!$D$39</f>
        <v>#DIV/0!</v>
      </c>
      <c r="E49" s="1250">
        <v>0</v>
      </c>
      <c r="F49" s="1288" t="e">
        <f>E49/'Unit Mix'!$D$39</f>
        <v>#DIV/0!</v>
      </c>
      <c r="G49" s="567">
        <v>0</v>
      </c>
      <c r="H49" s="1266" t="e">
        <f>G49/'Unit Mix'!$D$39</f>
        <v>#DIV/0!</v>
      </c>
      <c r="I49" s="1250"/>
      <c r="J49" s="1288" t="e">
        <f>I49/'Unit Mix'!$D$39</f>
        <v>#DIV/0!</v>
      </c>
      <c r="K49" s="567"/>
      <c r="L49" s="1266" t="e">
        <f>K49/'Unit Mix'!$D$39</f>
        <v>#DIV/0!</v>
      </c>
      <c r="M49" s="891"/>
      <c r="N49" s="1311" t="e">
        <f>M49/'Unit Mix'!$D$39</f>
        <v>#DIV/0!</v>
      </c>
      <c r="O49" s="891"/>
      <c r="P49" s="1311" t="e">
        <f>O49/'Unit Mix'!$D$39</f>
        <v>#DIV/0!</v>
      </c>
      <c r="Q49" s="567">
        <f t="shared" si="0"/>
        <v>0</v>
      </c>
      <c r="R49" s="1269" t="e">
        <f t="shared" si="8"/>
        <v>#DIV/0!</v>
      </c>
      <c r="S49" s="567">
        <f t="shared" si="2"/>
        <v>0</v>
      </c>
      <c r="T49" s="1361" t="e">
        <f>IF('Input Page'!$F$53="Yes",((O49-K49)/K49),IF('Input Page'!$F$54="Yes",S49/((O49-K49)/K49),""))</f>
        <v>#DIV/0!</v>
      </c>
      <c r="U49" s="1243" t="s">
        <v>635</v>
      </c>
      <c r="V49" s="1"/>
      <c r="W49" s="1"/>
      <c r="X49" s="1"/>
      <c r="Y49" s="1"/>
      <c r="Z49" s="289"/>
      <c r="AA49" s="1"/>
      <c r="AB49" s="1"/>
      <c r="AC49" s="1"/>
      <c r="AD49" s="1"/>
      <c r="AE49" s="289"/>
      <c r="AF49" s="1"/>
      <c r="AG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</row>
    <row r="50" spans="1:62">
      <c r="A50" s="919">
        <v>6311</v>
      </c>
      <c r="B50" s="186" t="s">
        <v>430</v>
      </c>
      <c r="C50" s="567"/>
      <c r="D50" s="1266" t="e">
        <f>C50/'Unit Mix'!$D$39</f>
        <v>#DIV/0!</v>
      </c>
      <c r="E50" s="1250"/>
      <c r="F50" s="1288" t="e">
        <f>E50/'Unit Mix'!$D$39</f>
        <v>#DIV/0!</v>
      </c>
      <c r="G50" s="567"/>
      <c r="H50" s="1266" t="e">
        <f>G50/'Unit Mix'!$D$39</f>
        <v>#DIV/0!</v>
      </c>
      <c r="I50" s="1250"/>
      <c r="J50" s="1288" t="e">
        <f>I50/'Unit Mix'!$D$39</f>
        <v>#DIV/0!</v>
      </c>
      <c r="K50" s="567"/>
      <c r="L50" s="1266" t="e">
        <f>K50/'Unit Mix'!$D$39</f>
        <v>#DIV/0!</v>
      </c>
      <c r="M50" s="891"/>
      <c r="N50" s="1311" t="e">
        <f>M50/'Unit Mix'!$D$39</f>
        <v>#DIV/0!</v>
      </c>
      <c r="O50" s="891"/>
      <c r="P50" s="1311" t="e">
        <f>O50/'Unit Mix'!$D$39</f>
        <v>#DIV/0!</v>
      </c>
      <c r="Q50" s="567">
        <f t="shared" si="0"/>
        <v>0</v>
      </c>
      <c r="R50" s="1269" t="e">
        <f t="shared" si="8"/>
        <v>#DIV/0!</v>
      </c>
      <c r="S50" s="567">
        <f t="shared" si="2"/>
        <v>0</v>
      </c>
      <c r="T50" s="1361" t="e">
        <f>IF('Input Page'!$F$53="Yes",((O50-K50)/K50),IF('Input Page'!$F$54="Yes",S50/((O50-K50)/K50),""))</f>
        <v>#DIV/0!</v>
      </c>
      <c r="U50" s="1243" t="s">
        <v>634</v>
      </c>
      <c r="V50" s="1"/>
      <c r="W50" s="1"/>
      <c r="X50" s="1"/>
      <c r="Y50" s="1"/>
      <c r="Z50" s="289"/>
      <c r="AA50" s="1"/>
      <c r="AB50" s="1"/>
      <c r="AC50" s="1"/>
      <c r="AD50" s="1"/>
      <c r="AE50" s="289"/>
      <c r="AF50" s="1"/>
      <c r="AG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</row>
    <row r="51" spans="1:62" hidden="1">
      <c r="A51" s="919">
        <v>6312</v>
      </c>
      <c r="B51" s="186" t="s">
        <v>431</v>
      </c>
      <c r="C51" s="567"/>
      <c r="D51" s="1266" t="e">
        <f>C51/'Unit Mix'!$D$39</f>
        <v>#DIV/0!</v>
      </c>
      <c r="E51" s="1250"/>
      <c r="F51" s="1288" t="e">
        <f>E51/'Unit Mix'!$D$39</f>
        <v>#DIV/0!</v>
      </c>
      <c r="G51" s="567"/>
      <c r="H51" s="1266" t="e">
        <f>G51/'Unit Mix'!$D$39</f>
        <v>#DIV/0!</v>
      </c>
      <c r="I51" s="1250"/>
      <c r="J51" s="1288" t="e">
        <f>I51/'Unit Mix'!$D$39</f>
        <v>#DIV/0!</v>
      </c>
      <c r="K51" s="567"/>
      <c r="L51" s="1266" t="e">
        <f>K51/'Unit Mix'!$D$39</f>
        <v>#DIV/0!</v>
      </c>
      <c r="M51" s="891"/>
      <c r="N51" s="1311" t="e">
        <f>M51/'Unit Mix'!$D$39</f>
        <v>#DIV/0!</v>
      </c>
      <c r="O51" s="891"/>
      <c r="P51" s="1311" t="e">
        <f>O51/'Unit Mix'!$D$39</f>
        <v>#DIV/0!</v>
      </c>
      <c r="Q51" s="567">
        <f t="shared" si="0"/>
        <v>0</v>
      </c>
      <c r="R51" s="1269" t="e">
        <f t="shared" si="8"/>
        <v>#DIV/0!</v>
      </c>
      <c r="S51" s="567">
        <f t="shared" si="2"/>
        <v>0</v>
      </c>
      <c r="T51" s="1361" t="e">
        <f>IF('Input Page'!$F$53="Yes",((O51-K51)/K51),IF('Input Page'!$F$54="Yes",S51/((O51-K51)/K51),""))</f>
        <v>#DIV/0!</v>
      </c>
      <c r="U51" s="177"/>
      <c r="V51" s="1"/>
      <c r="W51" s="1"/>
      <c r="X51" s="1"/>
      <c r="Y51" s="1"/>
      <c r="Z51" s="289"/>
      <c r="AA51" s="1"/>
      <c r="AB51" s="1"/>
      <c r="AC51" s="1"/>
      <c r="AD51" s="1"/>
      <c r="AE51" s="289"/>
      <c r="AF51" s="1"/>
      <c r="AG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</row>
    <row r="52" spans="1:62">
      <c r="A52" s="919">
        <v>6320</v>
      </c>
      <c r="B52" s="186" t="s">
        <v>1110</v>
      </c>
      <c r="C52" s="567"/>
      <c r="D52" s="1266" t="e">
        <f>C52/'Unit Mix'!$D$39</f>
        <v>#DIV/0!</v>
      </c>
      <c r="E52" s="1250"/>
      <c r="F52" s="1288" t="e">
        <f>E52/'Unit Mix'!$D$39</f>
        <v>#DIV/0!</v>
      </c>
      <c r="G52" s="567"/>
      <c r="H52" s="1266" t="e">
        <f>G52/'Unit Mix'!$D$39</f>
        <v>#DIV/0!</v>
      </c>
      <c r="I52" s="1250"/>
      <c r="J52" s="1288" t="e">
        <f>I52/'Unit Mix'!$D$39</f>
        <v>#DIV/0!</v>
      </c>
      <c r="K52" s="567"/>
      <c r="L52" s="1266" t="e">
        <f>K52/'Unit Mix'!$D$39</f>
        <v>#DIV/0!</v>
      </c>
      <c r="M52" s="891">
        <f>M40*0.045</f>
        <v>0</v>
      </c>
      <c r="N52" s="1311" t="e">
        <f>M52/'Unit Mix'!$D$39</f>
        <v>#DIV/0!</v>
      </c>
      <c r="O52" s="891">
        <f>O40*0.045</f>
        <v>0</v>
      </c>
      <c r="P52" s="1311" t="e">
        <f>O52/'Unit Mix'!$D$39</f>
        <v>#DIV/0!</v>
      </c>
      <c r="Q52" s="567">
        <f t="shared" si="0"/>
        <v>0</v>
      </c>
      <c r="R52" s="1269" t="e">
        <f t="shared" si="8"/>
        <v>#DIV/0!</v>
      </c>
      <c r="S52" s="567">
        <f t="shared" si="2"/>
        <v>0</v>
      </c>
      <c r="T52" s="1361" t="e">
        <f>IF('Input Page'!$F$53="Yes",((O52-K52)/K52),IF('Input Page'!$F$54="Yes",S52/((O52-K52)/K52),""))</f>
        <v>#DIV/0!</v>
      </c>
      <c r="U52" s="1379">
        <v>0.04</v>
      </c>
      <c r="V52" s="917" t="s">
        <v>636</v>
      </c>
      <c r="W52" s="4"/>
      <c r="X52" s="1"/>
      <c r="Y52" s="1"/>
      <c r="Z52" s="289"/>
      <c r="AA52" s="1"/>
      <c r="AB52" s="1"/>
      <c r="AC52" s="1"/>
      <c r="AD52" s="1"/>
      <c r="AE52" s="289"/>
      <c r="AF52" s="1"/>
      <c r="AG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</row>
    <row r="53" spans="1:62" hidden="1">
      <c r="A53" s="919"/>
      <c r="B53" s="186" t="s">
        <v>637</v>
      </c>
      <c r="C53" s="567"/>
      <c r="D53" s="1266" t="e">
        <f>C53/'Unit Mix'!$D$39</f>
        <v>#DIV/0!</v>
      </c>
      <c r="E53" s="1250"/>
      <c r="F53" s="1288" t="e">
        <f>E53/'Unit Mix'!$D$39</f>
        <v>#DIV/0!</v>
      </c>
      <c r="G53" s="567"/>
      <c r="H53" s="1266" t="e">
        <f>G53/'Unit Mix'!$D$39</f>
        <v>#DIV/0!</v>
      </c>
      <c r="I53" s="1250"/>
      <c r="J53" s="1288" t="e">
        <f>I53/'Unit Mix'!$D$39</f>
        <v>#DIV/0!</v>
      </c>
      <c r="K53" s="567"/>
      <c r="L53" s="1266" t="e">
        <f>K53/'Unit Mix'!$D$39</f>
        <v>#DIV/0!</v>
      </c>
      <c r="M53" s="891"/>
      <c r="N53" s="1311" t="e">
        <f>M53/'Unit Mix'!$D$39</f>
        <v>#DIV/0!</v>
      </c>
      <c r="O53" s="891"/>
      <c r="P53" s="1311" t="e">
        <f>O53/'Unit Mix'!$D$39</f>
        <v>#DIV/0!</v>
      </c>
      <c r="Q53" s="567">
        <f t="shared" si="0"/>
        <v>0</v>
      </c>
      <c r="R53" s="1269" t="e">
        <f t="shared" si="8"/>
        <v>#DIV/0!</v>
      </c>
      <c r="S53" s="567">
        <f t="shared" si="2"/>
        <v>0</v>
      </c>
      <c r="T53" s="1361" t="e">
        <f>IF('Input Page'!$F$53="Yes",((O53-K53)/K53),IF('Input Page'!$F$54="Yes",S53/((O53-K53)/K53),""))</f>
        <v>#DIV/0!</v>
      </c>
      <c r="U53" s="1243"/>
      <c r="V53" s="1"/>
      <c r="W53" s="1"/>
      <c r="X53" s="1"/>
      <c r="Y53" s="1"/>
      <c r="Z53" s="289"/>
      <c r="AA53" s="1"/>
      <c r="AB53" s="1"/>
      <c r="AC53" s="1"/>
      <c r="AD53" s="1"/>
      <c r="AE53" s="289"/>
      <c r="AF53" s="1"/>
      <c r="AG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</row>
    <row r="54" spans="1:62" hidden="1">
      <c r="A54" s="919">
        <v>6321</v>
      </c>
      <c r="B54" s="186" t="s">
        <v>434</v>
      </c>
      <c r="C54" s="567"/>
      <c r="D54" s="1266" t="e">
        <f>C54/'Unit Mix'!$D$39</f>
        <v>#DIV/0!</v>
      </c>
      <c r="E54" s="1250"/>
      <c r="F54" s="1288" t="e">
        <f>E54/'Unit Mix'!$D$39</f>
        <v>#DIV/0!</v>
      </c>
      <c r="G54" s="567"/>
      <c r="H54" s="1266" t="e">
        <f>G54/'Unit Mix'!$D$39</f>
        <v>#DIV/0!</v>
      </c>
      <c r="I54" s="1250"/>
      <c r="J54" s="1288" t="e">
        <f>I54/'Unit Mix'!$D$39</f>
        <v>#DIV/0!</v>
      </c>
      <c r="K54" s="567"/>
      <c r="L54" s="1266" t="e">
        <f>K54/'Unit Mix'!$D$39</f>
        <v>#DIV/0!</v>
      </c>
      <c r="M54" s="891"/>
      <c r="N54" s="1311" t="e">
        <f>M54/'Unit Mix'!$D$39</f>
        <v>#DIV/0!</v>
      </c>
      <c r="O54" s="891"/>
      <c r="P54" s="1311" t="e">
        <f>O54/'Unit Mix'!$D$39</f>
        <v>#DIV/0!</v>
      </c>
      <c r="Q54" s="567">
        <f t="shared" si="0"/>
        <v>0</v>
      </c>
      <c r="R54" s="1269" t="e">
        <f t="shared" si="8"/>
        <v>#DIV/0!</v>
      </c>
      <c r="S54" s="567">
        <f t="shared" si="2"/>
        <v>0</v>
      </c>
      <c r="T54" s="1361" t="e">
        <f>IF('Input Page'!$F$53="Yes",((O54-K54)/K54),IF('Input Page'!$F$54="Yes",S54/((O54-K54)/K54),""))</f>
        <v>#DIV/0!</v>
      </c>
      <c r="U54" s="1243"/>
      <c r="V54" s="1"/>
      <c r="W54" s="1"/>
      <c r="X54" s="1"/>
      <c r="Y54" s="1"/>
      <c r="Z54" s="289"/>
      <c r="AA54" s="1"/>
      <c r="AB54" s="1"/>
      <c r="AC54" s="1"/>
      <c r="AD54" s="1"/>
      <c r="AE54" s="289"/>
      <c r="AF54" s="1"/>
      <c r="AG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</row>
    <row r="55" spans="1:62">
      <c r="A55" s="919">
        <v>6330</v>
      </c>
      <c r="B55" s="186" t="s">
        <v>435</v>
      </c>
      <c r="C55" s="567"/>
      <c r="D55" s="1266" t="e">
        <f>C55/'Unit Mix'!$D$39</f>
        <v>#DIV/0!</v>
      </c>
      <c r="E55" s="1250"/>
      <c r="F55" s="1288" t="e">
        <f>E55/'Unit Mix'!$D$39</f>
        <v>#DIV/0!</v>
      </c>
      <c r="G55" s="567"/>
      <c r="H55" s="1266" t="e">
        <f>G55/'Unit Mix'!$D$39</f>
        <v>#DIV/0!</v>
      </c>
      <c r="I55" s="1250"/>
      <c r="J55" s="1288" t="e">
        <f>I55/'Unit Mix'!$D$39</f>
        <v>#DIV/0!</v>
      </c>
      <c r="K55" s="567"/>
      <c r="L55" s="1266" t="e">
        <f>K55/'Unit Mix'!$D$39</f>
        <v>#DIV/0!</v>
      </c>
      <c r="M55" s="891"/>
      <c r="N55" s="1311" t="e">
        <f>M55/'Unit Mix'!$D$39</f>
        <v>#DIV/0!</v>
      </c>
      <c r="O55" s="891"/>
      <c r="P55" s="1311" t="e">
        <f>O55/'Unit Mix'!$D$39</f>
        <v>#DIV/0!</v>
      </c>
      <c r="Q55" s="567">
        <f t="shared" si="0"/>
        <v>0</v>
      </c>
      <c r="R55" s="1269" t="e">
        <f t="shared" si="8"/>
        <v>#DIV/0!</v>
      </c>
      <c r="S55" s="567">
        <f t="shared" si="2"/>
        <v>0</v>
      </c>
      <c r="T55" s="1361" t="e">
        <f>IF('Input Page'!$F$53="Yes",((O55-K55)/K55),IF('Input Page'!$F$54="Yes",S55/((O55-K55)/K55),""))</f>
        <v>#DIV/0!</v>
      </c>
      <c r="U55" s="1243" t="s">
        <v>635</v>
      </c>
      <c r="V55" s="1"/>
      <c r="W55" s="1"/>
      <c r="X55" s="1"/>
      <c r="Y55" s="1"/>
      <c r="Z55" s="289"/>
      <c r="AA55" s="1"/>
      <c r="AB55" s="1"/>
      <c r="AC55" s="1"/>
      <c r="AD55" s="1"/>
      <c r="AE55" s="289"/>
      <c r="AF55" s="1"/>
      <c r="AG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</row>
    <row r="56" spans="1:62">
      <c r="A56" s="919">
        <v>6331</v>
      </c>
      <c r="B56" s="186" t="s">
        <v>436</v>
      </c>
      <c r="C56" s="567"/>
      <c r="D56" s="1266" t="e">
        <f>C56/'Unit Mix'!$D$39</f>
        <v>#DIV/0!</v>
      </c>
      <c r="E56" s="1250"/>
      <c r="F56" s="1288" t="e">
        <f>E56/'Unit Mix'!$D$39</f>
        <v>#DIV/0!</v>
      </c>
      <c r="G56" s="567"/>
      <c r="H56" s="1266" t="e">
        <f>G56/'Unit Mix'!$D$39</f>
        <v>#DIV/0!</v>
      </c>
      <c r="I56" s="1250"/>
      <c r="J56" s="1288" t="e">
        <f>I56/'Unit Mix'!$D$39</f>
        <v>#DIV/0!</v>
      </c>
      <c r="K56" s="567"/>
      <c r="L56" s="1266" t="e">
        <f>K56/'Unit Mix'!$D$39</f>
        <v>#DIV/0!</v>
      </c>
      <c r="M56" s="891"/>
      <c r="N56" s="1311" t="e">
        <f>M56/'Unit Mix'!$D$39</f>
        <v>#DIV/0!</v>
      </c>
      <c r="O56" s="891"/>
      <c r="P56" s="1311" t="e">
        <f>O56/'Unit Mix'!$D$39</f>
        <v>#DIV/0!</v>
      </c>
      <c r="Q56" s="567">
        <f t="shared" si="0"/>
        <v>0</v>
      </c>
      <c r="R56" s="1269" t="e">
        <f t="shared" si="8"/>
        <v>#DIV/0!</v>
      </c>
      <c r="S56" s="567">
        <f t="shared" si="2"/>
        <v>0</v>
      </c>
      <c r="T56" s="1361" t="e">
        <f>IF('Input Page'!$F$53="Yes",((O56-K56)/K56),IF('Input Page'!$F$54="Yes",S56/((O56-K56)/K56),""))</f>
        <v>#DIV/0!</v>
      </c>
      <c r="U56" s="1243"/>
      <c r="V56" s="1"/>
      <c r="W56" s="1"/>
      <c r="X56" s="1"/>
      <c r="Y56" s="1"/>
      <c r="Z56" s="289"/>
      <c r="AA56" s="1"/>
      <c r="AB56" s="1"/>
      <c r="AC56" s="1"/>
      <c r="AD56" s="1"/>
      <c r="AE56" s="289"/>
      <c r="AF56" s="1"/>
      <c r="AG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</row>
    <row r="57" spans="1:62">
      <c r="A57" s="919">
        <v>6340</v>
      </c>
      <c r="B57" s="186" t="s">
        <v>437</v>
      </c>
      <c r="C57" s="567"/>
      <c r="D57" s="1266" t="e">
        <f>C57/'Unit Mix'!$D$39</f>
        <v>#DIV/0!</v>
      </c>
      <c r="E57" s="1250"/>
      <c r="F57" s="1288" t="e">
        <f>E57/'Unit Mix'!$D$39</f>
        <v>#DIV/0!</v>
      </c>
      <c r="G57" s="567"/>
      <c r="H57" s="1266" t="e">
        <f>G57/'Unit Mix'!$D$39</f>
        <v>#DIV/0!</v>
      </c>
      <c r="I57" s="1250"/>
      <c r="J57" s="1288" t="e">
        <f>I57/'Unit Mix'!$D$39</f>
        <v>#DIV/0!</v>
      </c>
      <c r="K57" s="567"/>
      <c r="L57" s="1266" t="e">
        <f>K57/'Unit Mix'!$D$39</f>
        <v>#DIV/0!</v>
      </c>
      <c r="M57" s="891"/>
      <c r="N57" s="1311" t="e">
        <f>M57/'Unit Mix'!$D$39</f>
        <v>#DIV/0!</v>
      </c>
      <c r="O57" s="891"/>
      <c r="P57" s="1311" t="e">
        <f>O57/'Unit Mix'!$D$39</f>
        <v>#DIV/0!</v>
      </c>
      <c r="Q57" s="567">
        <f t="shared" si="0"/>
        <v>0</v>
      </c>
      <c r="R57" s="1269" t="e">
        <f t="shared" si="8"/>
        <v>#DIV/0!</v>
      </c>
      <c r="S57" s="567">
        <f t="shared" si="2"/>
        <v>0</v>
      </c>
      <c r="T57" s="1361" t="e">
        <f>IF('Input Page'!$F$53="Yes",((O57-K57)/K57),IF('Input Page'!$F$54="Yes",S57/((O57-K57)/K57),""))</f>
        <v>#DIV/0!</v>
      </c>
      <c r="U57" s="1243" t="s">
        <v>633</v>
      </c>
      <c r="V57" s="1"/>
      <c r="W57" s="1"/>
      <c r="X57" s="1"/>
      <c r="Y57" s="1"/>
      <c r="Z57" s="289"/>
      <c r="AA57" s="1"/>
      <c r="AB57" s="1"/>
      <c r="AC57" s="1"/>
      <c r="AD57" s="1"/>
      <c r="AE57" s="289"/>
      <c r="AF57" s="1"/>
      <c r="AG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</row>
    <row r="58" spans="1:62">
      <c r="A58" s="919">
        <v>6350</v>
      </c>
      <c r="B58" s="186" t="s">
        <v>438</v>
      </c>
      <c r="C58" s="567"/>
      <c r="D58" s="1266" t="e">
        <f>C58/'Unit Mix'!$D$39</f>
        <v>#DIV/0!</v>
      </c>
      <c r="E58" s="1250"/>
      <c r="F58" s="1288" t="e">
        <f>E58/'Unit Mix'!$D$39</f>
        <v>#DIV/0!</v>
      </c>
      <c r="G58" s="567"/>
      <c r="H58" s="1266" t="e">
        <f>G58/'Unit Mix'!$D$39</f>
        <v>#DIV/0!</v>
      </c>
      <c r="I58" s="1250"/>
      <c r="J58" s="1288" t="e">
        <f>I58/'Unit Mix'!$D$39</f>
        <v>#DIV/0!</v>
      </c>
      <c r="K58" s="567"/>
      <c r="L58" s="1266" t="e">
        <f>K58/'Unit Mix'!$D$39</f>
        <v>#DIV/0!</v>
      </c>
      <c r="M58" s="891"/>
      <c r="N58" s="1311" t="e">
        <f>M58/'Unit Mix'!$D$39</f>
        <v>#DIV/0!</v>
      </c>
      <c r="O58" s="891"/>
      <c r="P58" s="1311" t="e">
        <f>O58/'Unit Mix'!$D$39</f>
        <v>#DIV/0!</v>
      </c>
      <c r="Q58" s="567">
        <f t="shared" si="0"/>
        <v>0</v>
      </c>
      <c r="R58" s="1269" t="e">
        <f t="shared" si="8"/>
        <v>#DIV/0!</v>
      </c>
      <c r="S58" s="567">
        <f t="shared" si="2"/>
        <v>0</v>
      </c>
      <c r="T58" s="1361" t="e">
        <f>IF('Input Page'!$F$53="Yes",((O58-K58)/K58),IF('Input Page'!$F$54="Yes",S58/((O58-K58)/K58),""))</f>
        <v>#DIV/0!</v>
      </c>
      <c r="U58" s="1243" t="s">
        <v>634</v>
      </c>
      <c r="V58" s="1"/>
      <c r="W58" s="1"/>
      <c r="X58" s="1"/>
      <c r="Y58" s="1"/>
      <c r="Z58" s="289"/>
      <c r="AA58" s="1"/>
      <c r="AB58" s="1"/>
      <c r="AC58" s="1"/>
      <c r="AD58" s="1"/>
      <c r="AE58" s="289"/>
      <c r="AF58" s="1"/>
      <c r="AG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</row>
    <row r="59" spans="1:62">
      <c r="A59" s="919">
        <v>6351</v>
      </c>
      <c r="B59" s="186" t="s">
        <v>439</v>
      </c>
      <c r="C59" s="567"/>
      <c r="D59" s="1266" t="e">
        <f>C59/'Unit Mix'!$D$39</f>
        <v>#DIV/0!</v>
      </c>
      <c r="E59" s="1250"/>
      <c r="F59" s="1288" t="e">
        <f>E59/'Unit Mix'!$D$39</f>
        <v>#DIV/0!</v>
      </c>
      <c r="G59" s="567"/>
      <c r="H59" s="1266" t="e">
        <f>G59/'Unit Mix'!$D$39</f>
        <v>#DIV/0!</v>
      </c>
      <c r="I59" s="1250"/>
      <c r="J59" s="1288" t="e">
        <f>I59/'Unit Mix'!$D$39</f>
        <v>#DIV/0!</v>
      </c>
      <c r="K59" s="567"/>
      <c r="L59" s="1266" t="e">
        <f>K59/'Unit Mix'!$D$39</f>
        <v>#DIV/0!</v>
      </c>
      <c r="M59" s="891"/>
      <c r="N59" s="1311" t="e">
        <f>M59/'Unit Mix'!$D$39</f>
        <v>#DIV/0!</v>
      </c>
      <c r="O59" s="891"/>
      <c r="P59" s="1311" t="e">
        <f>O59/'Unit Mix'!$D$39</f>
        <v>#DIV/0!</v>
      </c>
      <c r="Q59" s="567">
        <f t="shared" si="0"/>
        <v>0</v>
      </c>
      <c r="R59" s="1269" t="e">
        <f t="shared" si="8"/>
        <v>#DIV/0!</v>
      </c>
      <c r="S59" s="567">
        <f t="shared" si="2"/>
        <v>0</v>
      </c>
      <c r="T59" s="1361" t="e">
        <f>IF('Input Page'!$F$53="Yes",((O59-K59)/K59),IF('Input Page'!$F$54="Yes",S59/((O59-K59)/K59),""))</f>
        <v>#DIV/0!</v>
      </c>
      <c r="U59" s="1243" t="s">
        <v>634</v>
      </c>
      <c r="V59" s="1"/>
      <c r="W59" s="1"/>
      <c r="X59" s="1"/>
      <c r="Y59" s="1"/>
      <c r="Z59" s="289"/>
      <c r="AA59" s="1"/>
      <c r="AB59" s="1"/>
      <c r="AC59" s="1"/>
      <c r="AD59" s="1"/>
      <c r="AE59" s="289"/>
      <c r="AF59" s="1"/>
      <c r="AG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</row>
    <row r="60" spans="1:62">
      <c r="A60" s="919">
        <v>6360</v>
      </c>
      <c r="B60" s="186" t="s">
        <v>440</v>
      </c>
      <c r="C60" s="567"/>
      <c r="D60" s="1266" t="e">
        <f>C60/'Unit Mix'!$D$39</f>
        <v>#DIV/0!</v>
      </c>
      <c r="E60" s="1250"/>
      <c r="F60" s="1288" t="e">
        <f>E60/'Unit Mix'!$D$39</f>
        <v>#DIV/0!</v>
      </c>
      <c r="G60" s="567"/>
      <c r="H60" s="1266" t="e">
        <f>G60/'Unit Mix'!$D$39</f>
        <v>#DIV/0!</v>
      </c>
      <c r="I60" s="1250"/>
      <c r="J60" s="1288" t="e">
        <f>I60/'Unit Mix'!$D$39</f>
        <v>#DIV/0!</v>
      </c>
      <c r="K60" s="567"/>
      <c r="L60" s="1266" t="e">
        <f>K60/'Unit Mix'!$D$39</f>
        <v>#DIV/0!</v>
      </c>
      <c r="M60" s="891"/>
      <c r="N60" s="1311" t="e">
        <f>M60/'Unit Mix'!$D$39</f>
        <v>#DIV/0!</v>
      </c>
      <c r="O60" s="891"/>
      <c r="P60" s="1311" t="e">
        <f>O60/'Unit Mix'!$D$39</f>
        <v>#DIV/0!</v>
      </c>
      <c r="Q60" s="567">
        <f t="shared" si="0"/>
        <v>0</v>
      </c>
      <c r="R60" s="1269" t="e">
        <f t="shared" si="8"/>
        <v>#DIV/0!</v>
      </c>
      <c r="S60" s="567">
        <f t="shared" si="2"/>
        <v>0</v>
      </c>
      <c r="T60" s="1361" t="e">
        <f>IF('Input Page'!$F$53="Yes",((O60-K60)/K60),IF('Input Page'!$F$54="Yes",S60/((O60-K60)/K60),""))</f>
        <v>#DIV/0!</v>
      </c>
      <c r="U60" s="1243" t="s">
        <v>634</v>
      </c>
      <c r="V60" s="1"/>
      <c r="W60" s="1"/>
      <c r="X60" s="1"/>
      <c r="Y60" s="1"/>
      <c r="Z60" s="289"/>
      <c r="AA60" s="1"/>
      <c r="AB60" s="1"/>
      <c r="AC60" s="1"/>
      <c r="AD60" s="1"/>
      <c r="AE60" s="289"/>
      <c r="AF60" s="1"/>
      <c r="AG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</row>
    <row r="61" spans="1:62">
      <c r="A61" s="919">
        <v>6370</v>
      </c>
      <c r="B61" s="186" t="s">
        <v>441</v>
      </c>
      <c r="C61" s="567"/>
      <c r="D61" s="1266" t="e">
        <f>C61/'Unit Mix'!$D$39</f>
        <v>#DIV/0!</v>
      </c>
      <c r="E61" s="1250"/>
      <c r="F61" s="1288" t="e">
        <f>E61/'Unit Mix'!$D$39</f>
        <v>#DIV/0!</v>
      </c>
      <c r="G61" s="567"/>
      <c r="H61" s="1266" t="e">
        <f>G61/'Unit Mix'!$D$39</f>
        <v>#DIV/0!</v>
      </c>
      <c r="I61" s="1250"/>
      <c r="J61" s="1288" t="e">
        <f>I61/'Unit Mix'!$D$39</f>
        <v>#DIV/0!</v>
      </c>
      <c r="K61" s="567"/>
      <c r="L61" s="1266" t="e">
        <f>K61/'Unit Mix'!$D$39</f>
        <v>#DIV/0!</v>
      </c>
      <c r="M61" s="891"/>
      <c r="N61" s="1311" t="e">
        <f>M61/'Unit Mix'!$D$39</f>
        <v>#DIV/0!</v>
      </c>
      <c r="O61" s="891"/>
      <c r="P61" s="1311" t="e">
        <f>O61/'Unit Mix'!$D$39</f>
        <v>#DIV/0!</v>
      </c>
      <c r="Q61" s="567">
        <f t="shared" si="0"/>
        <v>0</v>
      </c>
      <c r="R61" s="1269" t="e">
        <f t="shared" si="8"/>
        <v>#DIV/0!</v>
      </c>
      <c r="S61" s="567">
        <f t="shared" si="2"/>
        <v>0</v>
      </c>
      <c r="T61" s="1361" t="e">
        <f>IF('Input Page'!$F$53="Yes",((O61-K61)/K61),IF('Input Page'!$F$54="Yes",S61/((O61-K61)/K61),""))</f>
        <v>#DIV/0!</v>
      </c>
      <c r="U61" s="1243"/>
      <c r="V61" s="1"/>
      <c r="W61" s="1"/>
      <c r="X61" s="1"/>
      <c r="Y61" s="1"/>
      <c r="Z61" s="289"/>
      <c r="AA61" s="1"/>
      <c r="AB61" s="1"/>
      <c r="AC61" s="1"/>
      <c r="AD61" s="1"/>
      <c r="AE61" s="289"/>
      <c r="AF61" s="1"/>
      <c r="AG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</row>
    <row r="62" spans="1:62" hidden="1">
      <c r="A62" s="919">
        <v>6390</v>
      </c>
      <c r="B62" s="186" t="s">
        <v>638</v>
      </c>
      <c r="C62" s="567"/>
      <c r="D62" s="1266" t="e">
        <f>C62/'Unit Mix'!$D$39</f>
        <v>#DIV/0!</v>
      </c>
      <c r="E62" s="1250"/>
      <c r="F62" s="1288" t="e">
        <f>E62/'Unit Mix'!$D$39</f>
        <v>#DIV/0!</v>
      </c>
      <c r="G62" s="567"/>
      <c r="H62" s="1266" t="e">
        <f>G62/'Unit Mix'!$D$39</f>
        <v>#DIV/0!</v>
      </c>
      <c r="I62" s="1250"/>
      <c r="J62" s="1288" t="e">
        <f>I62/'Unit Mix'!$D$39</f>
        <v>#DIV/0!</v>
      </c>
      <c r="K62" s="567"/>
      <c r="L62" s="1266" t="e">
        <f>K62/'Unit Mix'!$D$39</f>
        <v>#DIV/0!</v>
      </c>
      <c r="M62" s="891"/>
      <c r="N62" s="1311" t="e">
        <f>M62/'Unit Mix'!$D$39</f>
        <v>#DIV/0!</v>
      </c>
      <c r="O62" s="891"/>
      <c r="P62" s="1311" t="e">
        <f>O62/'Unit Mix'!$D$39</f>
        <v>#DIV/0!</v>
      </c>
      <c r="Q62" s="567">
        <f t="shared" si="0"/>
        <v>0</v>
      </c>
      <c r="R62" s="1269" t="e">
        <f t="shared" si="8"/>
        <v>#DIV/0!</v>
      </c>
      <c r="S62" s="567">
        <f t="shared" si="2"/>
        <v>0</v>
      </c>
      <c r="T62" s="1361" t="e">
        <f>IF('Input Page'!$F$53="Yes",((O62-K62)/K62),IF('Input Page'!$F$54="Yes",S62/((O62-K62)/K62),""))</f>
        <v>#DIV/0!</v>
      </c>
      <c r="U62" s="177" t="s">
        <v>639</v>
      </c>
      <c r="V62" s="1"/>
      <c r="W62" s="1"/>
      <c r="X62" s="1"/>
      <c r="Y62" s="1"/>
      <c r="Z62" s="289"/>
      <c r="AA62" s="1"/>
      <c r="AB62" s="1"/>
      <c r="AC62" s="1"/>
      <c r="AD62" s="1"/>
      <c r="AE62" s="289"/>
      <c r="AF62" s="1"/>
      <c r="AG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</row>
    <row r="63" spans="1:62" hidden="1">
      <c r="A63" s="919"/>
      <c r="B63" s="186" t="s">
        <v>640</v>
      </c>
      <c r="C63" s="635"/>
      <c r="D63" s="1267" t="e">
        <f>C63/'Unit Mix'!$D$39</f>
        <v>#DIV/0!</v>
      </c>
      <c r="E63" s="1251"/>
      <c r="F63" s="1289" t="e">
        <f>E63/'Unit Mix'!$D$39</f>
        <v>#DIV/0!</v>
      </c>
      <c r="G63" s="635"/>
      <c r="H63" s="1267" t="e">
        <f>G63/'Unit Mix'!$D$39</f>
        <v>#DIV/0!</v>
      </c>
      <c r="I63" s="1251"/>
      <c r="J63" s="1289" t="e">
        <f>I63/'Unit Mix'!$D$39</f>
        <v>#DIV/0!</v>
      </c>
      <c r="K63" s="635"/>
      <c r="L63" s="1267" t="e">
        <f>K63/'Unit Mix'!$D$39</f>
        <v>#DIV/0!</v>
      </c>
      <c r="M63" s="892"/>
      <c r="N63" s="1312" t="e">
        <f>M63/'Unit Mix'!$D$39</f>
        <v>#DIV/0!</v>
      </c>
      <c r="O63" s="892"/>
      <c r="P63" s="1312" t="e">
        <f>O63/'Unit Mix'!$D$39</f>
        <v>#DIV/0!</v>
      </c>
      <c r="Q63" s="635">
        <f t="shared" ref="Q63" si="9">M63-K63</f>
        <v>0</v>
      </c>
      <c r="R63" s="1270" t="e">
        <f t="shared" ref="R63" si="10">(M63-K63)/K63</f>
        <v>#DIV/0!</v>
      </c>
      <c r="S63" s="635">
        <f t="shared" ref="S63" si="11">O63-K63</f>
        <v>0</v>
      </c>
      <c r="T63" s="1314" t="e">
        <f>IF('Input Page'!$F$53="Yes",((O63-K63)/K63),IF('Input Page'!$F$54="Yes",S63/((O63-K63)/K63),""))</f>
        <v>#DIV/0!</v>
      </c>
      <c r="U63" s="177"/>
      <c r="V63" s="1"/>
      <c r="W63" s="1"/>
      <c r="X63" s="1"/>
      <c r="Y63" s="1"/>
      <c r="Z63" s="289"/>
      <c r="AA63" s="1"/>
      <c r="AB63" s="1"/>
      <c r="AC63" s="1"/>
      <c r="AD63" s="1"/>
      <c r="AE63" s="289"/>
      <c r="AF63" s="1"/>
      <c r="AG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</row>
    <row r="64" spans="1:62">
      <c r="A64" s="919"/>
      <c r="B64" s="175"/>
      <c r="C64" s="567">
        <f>SUM(C44:C63)</f>
        <v>0</v>
      </c>
      <c r="D64" s="1266" t="e">
        <f t="shared" ref="D64:P64" si="12">SUM(D44:D62)</f>
        <v>#DIV/0!</v>
      </c>
      <c r="E64" s="1564">
        <f>SUM(E44:E63)</f>
        <v>0</v>
      </c>
      <c r="F64" s="1565" t="e">
        <f t="shared" si="12"/>
        <v>#DIV/0!</v>
      </c>
      <c r="G64" s="1566">
        <f>SUM(G44:G63)</f>
        <v>0</v>
      </c>
      <c r="H64" s="1567" t="e">
        <f t="shared" si="12"/>
        <v>#DIV/0!</v>
      </c>
      <c r="I64" s="1564">
        <f>SUM(I44:I63)</f>
        <v>0</v>
      </c>
      <c r="J64" s="1565" t="e">
        <f t="shared" si="12"/>
        <v>#DIV/0!</v>
      </c>
      <c r="K64" s="1566">
        <f>SUM(K44:K63)</f>
        <v>0</v>
      </c>
      <c r="L64" s="1567" t="e">
        <f t="shared" si="12"/>
        <v>#DIV/0!</v>
      </c>
      <c r="M64" s="1568">
        <f>SUM(M44:M63)</f>
        <v>0</v>
      </c>
      <c r="N64" s="1569" t="e">
        <f t="shared" si="12"/>
        <v>#DIV/0!</v>
      </c>
      <c r="O64" s="1568">
        <f>SUM(O44:O63)</f>
        <v>0</v>
      </c>
      <c r="P64" s="1569" t="e">
        <f t="shared" si="12"/>
        <v>#DIV/0!</v>
      </c>
      <c r="Q64" s="567">
        <f>M64-K64</f>
        <v>0</v>
      </c>
      <c r="R64" s="1269" t="e">
        <f t="shared" si="8"/>
        <v>#DIV/0!</v>
      </c>
      <c r="S64" s="567">
        <f t="shared" si="2"/>
        <v>0</v>
      </c>
      <c r="T64" s="1361" t="e">
        <f>IF('Input Page'!$F$53="Yes",((O64-K64)/K64),IF('Input Page'!$F$54="Yes",S64/((O64-K64)/K64),""))</f>
        <v>#DIV/0!</v>
      </c>
      <c r="U64" s="1243"/>
      <c r="V64" s="1"/>
      <c r="W64" s="1"/>
      <c r="X64" s="1"/>
      <c r="Y64" s="1"/>
      <c r="Z64" s="289"/>
      <c r="AA64" s="1"/>
      <c r="AB64" s="1"/>
      <c r="AC64" s="1"/>
      <c r="AD64" s="1"/>
      <c r="AE64" s="289"/>
      <c r="AF64" s="1"/>
      <c r="AG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</row>
    <row r="65" spans="1:62">
      <c r="A65" s="919"/>
      <c r="B65" s="175"/>
      <c r="C65" s="567"/>
      <c r="D65" s="1266"/>
      <c r="E65" s="1250"/>
      <c r="F65" s="1288"/>
      <c r="G65" s="567"/>
      <c r="H65" s="1266"/>
      <c r="I65" s="1250"/>
      <c r="J65" s="1288"/>
      <c r="K65" s="567"/>
      <c r="L65" s="1266"/>
      <c r="M65" s="891"/>
      <c r="N65" s="1311"/>
      <c r="O65" s="891"/>
      <c r="P65" s="1311"/>
      <c r="Q65" s="567"/>
      <c r="R65" s="1269"/>
      <c r="S65" s="567"/>
      <c r="T65" s="1361"/>
      <c r="U65" s="1243"/>
      <c r="V65" s="1"/>
      <c r="W65" s="1"/>
      <c r="X65" s="1"/>
      <c r="Y65" s="1"/>
      <c r="Z65" s="289"/>
      <c r="AA65" s="1"/>
      <c r="AB65" s="1"/>
      <c r="AC65" s="1"/>
      <c r="AD65" s="1"/>
      <c r="AE65" s="289"/>
      <c r="AF65" s="1"/>
      <c r="AG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</row>
    <row r="66" spans="1:62">
      <c r="A66" s="919"/>
      <c r="B66" s="175"/>
      <c r="C66" s="176"/>
      <c r="D66" s="1268"/>
      <c r="E66" s="1252"/>
      <c r="F66" s="1290"/>
      <c r="G66" s="176"/>
      <c r="H66" s="1268"/>
      <c r="I66" s="1252"/>
      <c r="J66" s="1290"/>
      <c r="K66" s="175"/>
      <c r="L66" s="1268"/>
      <c r="M66" s="182"/>
      <c r="N66" s="1313"/>
      <c r="O66" s="182"/>
      <c r="P66" s="1332"/>
      <c r="Q66" s="175"/>
      <c r="R66" s="1346"/>
      <c r="S66" s="175"/>
      <c r="T66" s="1362"/>
      <c r="U66" s="1243"/>
      <c r="V66" s="1"/>
      <c r="W66" s="1"/>
      <c r="X66" s="1"/>
      <c r="Y66" s="1"/>
      <c r="Z66" s="289"/>
      <c r="AA66" s="1"/>
      <c r="AB66" s="1"/>
      <c r="AC66" s="1"/>
      <c r="AD66" s="1"/>
      <c r="AE66" s="289"/>
      <c r="AF66" s="1"/>
      <c r="AG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</row>
    <row r="67" spans="1:62">
      <c r="A67" s="919"/>
      <c r="B67" s="181" t="s">
        <v>443</v>
      </c>
      <c r="C67" s="176"/>
      <c r="D67" s="1268"/>
      <c r="E67" s="1252"/>
      <c r="F67" s="1290"/>
      <c r="G67" s="176"/>
      <c r="H67" s="1268"/>
      <c r="I67" s="1252"/>
      <c r="J67" s="1290"/>
      <c r="K67" s="175"/>
      <c r="L67" s="1268"/>
      <c r="M67" s="182"/>
      <c r="N67" s="1313"/>
      <c r="O67" s="182"/>
      <c r="P67" s="1332"/>
      <c r="Q67" s="175"/>
      <c r="R67" s="1346"/>
      <c r="S67" s="175"/>
      <c r="T67" s="1362"/>
      <c r="U67" s="1243"/>
      <c r="V67" s="1"/>
      <c r="W67" s="1"/>
      <c r="X67" s="1"/>
      <c r="Y67" s="1"/>
      <c r="Z67" s="289"/>
      <c r="AA67" s="1"/>
      <c r="AB67" s="1"/>
      <c r="AC67" s="1"/>
      <c r="AD67" s="1"/>
      <c r="AE67" s="289"/>
      <c r="AF67" s="1"/>
      <c r="AG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</row>
    <row r="68" spans="1:62" hidden="1">
      <c r="A68" s="919">
        <v>6420</v>
      </c>
      <c r="B68" s="186" t="s">
        <v>444</v>
      </c>
      <c r="C68" s="567"/>
      <c r="D68" s="1266" t="e">
        <f>C68/'Unit Mix'!$D$39</f>
        <v>#DIV/0!</v>
      </c>
      <c r="E68" s="1250"/>
      <c r="F68" s="1288" t="e">
        <f>E68/'Unit Mix'!$D$39</f>
        <v>#DIV/0!</v>
      </c>
      <c r="G68" s="567"/>
      <c r="H68" s="1266" t="e">
        <f>G68/'Unit Mix'!$D$39</f>
        <v>#DIV/0!</v>
      </c>
      <c r="I68" s="1250"/>
      <c r="J68" s="1288" t="e">
        <f>I68/'Unit Mix'!$D$39</f>
        <v>#DIV/0!</v>
      </c>
      <c r="K68" s="567"/>
      <c r="L68" s="1266" t="e">
        <f>K68/'Unit Mix'!$D$39</f>
        <v>#DIV/0!</v>
      </c>
      <c r="M68" s="891"/>
      <c r="N68" s="1311" t="e">
        <f>M68/'Unit Mix'!$D$39</f>
        <v>#DIV/0!</v>
      </c>
      <c r="O68" s="891"/>
      <c r="P68" s="1311" t="e">
        <f>O68/'Unit Mix'!$D$39</f>
        <v>#DIV/0!</v>
      </c>
      <c r="Q68" s="567">
        <f t="shared" si="0"/>
        <v>0</v>
      </c>
      <c r="R68" s="1269" t="e">
        <f t="shared" ref="R68:R74" si="13">(M68-K68)/K68</f>
        <v>#DIV/0!</v>
      </c>
      <c r="S68" s="567">
        <f t="shared" si="2"/>
        <v>0</v>
      </c>
      <c r="T68" s="1361" t="e">
        <f>IF('Input Page'!$F$53="Yes",((O68-K68)/K68),IF('Input Page'!$F$54="Yes",S68/((O68-K68)/K68),""))</f>
        <v>#DIV/0!</v>
      </c>
      <c r="U68" s="1243" t="s">
        <v>641</v>
      </c>
      <c r="V68" s="1"/>
      <c r="W68" s="1"/>
      <c r="X68" s="1"/>
      <c r="Y68" s="1"/>
      <c r="Z68" s="289"/>
      <c r="AA68" s="1"/>
      <c r="AB68" s="1"/>
      <c r="AC68" s="1"/>
      <c r="AD68" s="1"/>
      <c r="AE68" s="289"/>
      <c r="AF68" s="1"/>
      <c r="AG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</row>
    <row r="69" spans="1:62">
      <c r="A69" s="919">
        <v>6450</v>
      </c>
      <c r="B69" s="186" t="s">
        <v>445</v>
      </c>
      <c r="C69" s="567"/>
      <c r="D69" s="1266" t="e">
        <f>C69/'Unit Mix'!$D$39</f>
        <v>#DIV/0!</v>
      </c>
      <c r="E69" s="1250"/>
      <c r="F69" s="1288" t="e">
        <f>E69/'Unit Mix'!$D$39</f>
        <v>#DIV/0!</v>
      </c>
      <c r="G69" s="567"/>
      <c r="H69" s="1266" t="e">
        <f>G69/'Unit Mix'!$D$39</f>
        <v>#DIV/0!</v>
      </c>
      <c r="I69" s="1250"/>
      <c r="J69" s="1288" t="e">
        <f>I69/'Unit Mix'!$D$39</f>
        <v>#DIV/0!</v>
      </c>
      <c r="K69" s="567"/>
      <c r="L69" s="1266" t="e">
        <f>K69/'Unit Mix'!$D$39</f>
        <v>#DIV/0!</v>
      </c>
      <c r="M69" s="891">
        <f>I69*1.03</f>
        <v>0</v>
      </c>
      <c r="N69" s="1311" t="e">
        <f>M69/'Unit Mix'!$D$39</f>
        <v>#DIV/0!</v>
      </c>
      <c r="O69" s="891">
        <f>M69*1.03</f>
        <v>0</v>
      </c>
      <c r="P69" s="1311" t="e">
        <f>O69/'Unit Mix'!$D$39</f>
        <v>#DIV/0!</v>
      </c>
      <c r="Q69" s="567">
        <f t="shared" si="0"/>
        <v>0</v>
      </c>
      <c r="R69" s="1269" t="e">
        <f t="shared" si="13"/>
        <v>#DIV/0!</v>
      </c>
      <c r="S69" s="567">
        <f t="shared" si="2"/>
        <v>0</v>
      </c>
      <c r="T69" s="1361" t="e">
        <f>IF('Input Page'!$F$53="Yes",((O69-K69)/K69),IF('Input Page'!$F$54="Yes",S69/((O69-K69)/K69),""))</f>
        <v>#DIV/0!</v>
      </c>
      <c r="U69" s="1243" t="s">
        <v>641</v>
      </c>
      <c r="V69" s="1"/>
      <c r="W69" s="1236"/>
      <c r="X69" s="1"/>
      <c r="Y69" s="1"/>
      <c r="Z69" s="289"/>
      <c r="AA69" s="1"/>
      <c r="AB69" s="1"/>
      <c r="AC69" s="1"/>
      <c r="AD69" s="1"/>
      <c r="AE69" s="289"/>
      <c r="AF69" s="1"/>
      <c r="AG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</row>
    <row r="70" spans="1:62" hidden="1">
      <c r="A70" s="919"/>
      <c r="B70" s="186" t="s">
        <v>446</v>
      </c>
      <c r="C70" s="567"/>
      <c r="D70" s="1266" t="e">
        <f>C70/'Unit Mix'!$D$39</f>
        <v>#DIV/0!</v>
      </c>
      <c r="E70" s="1250"/>
      <c r="F70" s="1288" t="e">
        <f>E70/'Unit Mix'!$D$39</f>
        <v>#DIV/0!</v>
      </c>
      <c r="G70" s="567"/>
      <c r="H70" s="1266" t="e">
        <f>G70/'Unit Mix'!$D$39</f>
        <v>#DIV/0!</v>
      </c>
      <c r="I70" s="1250"/>
      <c r="J70" s="1288" t="e">
        <f>I70/'Unit Mix'!$D$39</f>
        <v>#DIV/0!</v>
      </c>
      <c r="K70" s="567"/>
      <c r="L70" s="1266" t="e">
        <f>K70/'Unit Mix'!$D$39</f>
        <v>#DIV/0!</v>
      </c>
      <c r="M70" s="891">
        <f t="shared" ref="M70:M72" si="14">I70*1.03</f>
        <v>0</v>
      </c>
      <c r="N70" s="1311" t="e">
        <f>M70/'Unit Mix'!$D$39</f>
        <v>#DIV/0!</v>
      </c>
      <c r="O70" s="891">
        <f t="shared" ref="O70:O72" si="15">M70*1.03</f>
        <v>0</v>
      </c>
      <c r="P70" s="1311" t="e">
        <f>O70/'Unit Mix'!$D$39</f>
        <v>#DIV/0!</v>
      </c>
      <c r="Q70" s="567">
        <f t="shared" si="0"/>
        <v>0</v>
      </c>
      <c r="R70" s="1269" t="e">
        <f t="shared" si="13"/>
        <v>#DIV/0!</v>
      </c>
      <c r="S70" s="567">
        <f t="shared" si="2"/>
        <v>0</v>
      </c>
      <c r="T70" s="1361" t="e">
        <f>IF('Input Page'!$F$53="Yes",((O70-K70)/K70),IF('Input Page'!$F$54="Yes",S70/((O70-K70)/K70),""))</f>
        <v>#DIV/0!</v>
      </c>
      <c r="U70" s="1243" t="s">
        <v>641</v>
      </c>
      <c r="V70" s="1"/>
      <c r="W70" s="1"/>
      <c r="X70" s="1"/>
      <c r="Y70" s="1"/>
      <c r="Z70" s="289"/>
      <c r="AA70" s="1"/>
      <c r="AB70" s="1"/>
      <c r="AC70" s="1"/>
      <c r="AD70" s="1"/>
      <c r="AE70" s="289"/>
      <c r="AF70" s="1"/>
      <c r="AG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</row>
    <row r="71" spans="1:62">
      <c r="A71" s="919">
        <v>6451</v>
      </c>
      <c r="B71" s="186" t="s">
        <v>447</v>
      </c>
      <c r="C71" s="567"/>
      <c r="D71" s="1266" t="e">
        <f>C71/'Unit Mix'!$D$39</f>
        <v>#DIV/0!</v>
      </c>
      <c r="E71" s="1250"/>
      <c r="F71" s="1288" t="e">
        <f>E71/'Unit Mix'!$D$39</f>
        <v>#DIV/0!</v>
      </c>
      <c r="G71" s="567"/>
      <c r="H71" s="1266" t="e">
        <f>G71/'Unit Mix'!$D$39</f>
        <v>#DIV/0!</v>
      </c>
      <c r="I71" s="1250"/>
      <c r="J71" s="1288" t="e">
        <f>I71/'Unit Mix'!$D$39</f>
        <v>#DIV/0!</v>
      </c>
      <c r="K71" s="567"/>
      <c r="L71" s="1266" t="e">
        <f>K71/'Unit Mix'!$D$39</f>
        <v>#DIV/0!</v>
      </c>
      <c r="M71" s="891">
        <f t="shared" si="14"/>
        <v>0</v>
      </c>
      <c r="N71" s="1311" t="e">
        <f>M71/'Unit Mix'!$D$39</f>
        <v>#DIV/0!</v>
      </c>
      <c r="O71" s="891">
        <f t="shared" si="15"/>
        <v>0</v>
      </c>
      <c r="P71" s="1311" t="e">
        <f>O71/'Unit Mix'!$D$39</f>
        <v>#DIV/0!</v>
      </c>
      <c r="Q71" s="567">
        <f t="shared" si="0"/>
        <v>0</v>
      </c>
      <c r="R71" s="1269" t="e">
        <f t="shared" si="13"/>
        <v>#DIV/0!</v>
      </c>
      <c r="S71" s="567">
        <f t="shared" si="2"/>
        <v>0</v>
      </c>
      <c r="T71" s="1361" t="e">
        <f>IF('Input Page'!$F$53="Yes",((O71-K71)/K71),IF('Input Page'!$F$54="Yes",S71/((O71-K71)/K71),""))</f>
        <v>#DIV/0!</v>
      </c>
      <c r="U71" s="1243" t="s">
        <v>641</v>
      </c>
      <c r="V71" s="1"/>
      <c r="W71" s="1"/>
      <c r="X71" s="1"/>
      <c r="Y71" s="1"/>
      <c r="Z71" s="289"/>
      <c r="AA71" s="1"/>
      <c r="AB71" s="1"/>
      <c r="AC71" s="1"/>
      <c r="AD71" s="1"/>
      <c r="AE71" s="289"/>
      <c r="AF71" s="1"/>
      <c r="AG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</row>
    <row r="72" spans="1:62">
      <c r="A72" s="919">
        <v>6452</v>
      </c>
      <c r="B72" s="186" t="s">
        <v>448</v>
      </c>
      <c r="C72" s="567"/>
      <c r="D72" s="1266" t="e">
        <f>C72/'Unit Mix'!$D$39</f>
        <v>#DIV/0!</v>
      </c>
      <c r="E72" s="1250"/>
      <c r="F72" s="1288" t="e">
        <f>E72/'Unit Mix'!$D$39</f>
        <v>#DIV/0!</v>
      </c>
      <c r="G72" s="567"/>
      <c r="H72" s="1266" t="e">
        <f>G72/'Unit Mix'!$D$39</f>
        <v>#DIV/0!</v>
      </c>
      <c r="I72" s="1250"/>
      <c r="J72" s="1288" t="e">
        <f>I72/'Unit Mix'!$D$39</f>
        <v>#DIV/0!</v>
      </c>
      <c r="K72" s="567"/>
      <c r="L72" s="1266" t="e">
        <f>K72/'Unit Mix'!$D$39</f>
        <v>#DIV/0!</v>
      </c>
      <c r="M72" s="891">
        <f t="shared" si="14"/>
        <v>0</v>
      </c>
      <c r="N72" s="1311" t="e">
        <f>M72/'Unit Mix'!$D$39</f>
        <v>#DIV/0!</v>
      </c>
      <c r="O72" s="891">
        <f t="shared" si="15"/>
        <v>0</v>
      </c>
      <c r="P72" s="1311" t="e">
        <f>O72/'Unit Mix'!$D$39</f>
        <v>#DIV/0!</v>
      </c>
      <c r="Q72" s="567">
        <f>M72-K72</f>
        <v>0</v>
      </c>
      <c r="R72" s="1269" t="e">
        <f t="shared" si="13"/>
        <v>#DIV/0!</v>
      </c>
      <c r="S72" s="567">
        <f t="shared" si="2"/>
        <v>0</v>
      </c>
      <c r="T72" s="1361" t="e">
        <f>IF('Input Page'!$F$53="Yes",((O72-K72)/K72),IF('Input Page'!$F$54="Yes",S72/((O72-K72)/K72),""))</f>
        <v>#DIV/0!</v>
      </c>
      <c r="U72" s="1243" t="s">
        <v>641</v>
      </c>
      <c r="V72" s="1"/>
      <c r="W72" s="1"/>
      <c r="X72" s="1"/>
      <c r="Y72" s="1"/>
      <c r="Z72" s="289"/>
      <c r="AA72" s="1"/>
      <c r="AB72" s="1"/>
      <c r="AC72" s="1"/>
      <c r="AD72" s="1"/>
      <c r="AE72" s="289"/>
      <c r="AF72" s="1"/>
      <c r="AG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</row>
    <row r="73" spans="1:62" hidden="1">
      <c r="A73" s="919">
        <v>6453</v>
      </c>
      <c r="B73" s="186" t="s">
        <v>449</v>
      </c>
      <c r="C73" s="635"/>
      <c r="D73" s="1267" t="e">
        <f>C73/'Unit Mix'!$D$39</f>
        <v>#DIV/0!</v>
      </c>
      <c r="E73" s="1251"/>
      <c r="F73" s="1289" t="e">
        <f>E73/'Unit Mix'!$D$39</f>
        <v>#DIV/0!</v>
      </c>
      <c r="G73" s="635"/>
      <c r="H73" s="1267" t="e">
        <f>G73/'Unit Mix'!$D$39</f>
        <v>#DIV/0!</v>
      </c>
      <c r="I73" s="1251"/>
      <c r="J73" s="1289" t="e">
        <f>I73/'Unit Mix'!$D$39</f>
        <v>#DIV/0!</v>
      </c>
      <c r="K73" s="635"/>
      <c r="L73" s="1267" t="e">
        <f>K73/'Unit Mix'!$D$39</f>
        <v>#DIV/0!</v>
      </c>
      <c r="M73" s="892"/>
      <c r="N73" s="1312" t="e">
        <f>M73/'Unit Mix'!$D$39</f>
        <v>#DIV/0!</v>
      </c>
      <c r="O73" s="892"/>
      <c r="P73" s="1312" t="e">
        <f>O73/'Unit Mix'!$D$39</f>
        <v>#DIV/0!</v>
      </c>
      <c r="Q73" s="635">
        <f t="shared" si="0"/>
        <v>0</v>
      </c>
      <c r="R73" s="1270" t="e">
        <f t="shared" si="13"/>
        <v>#DIV/0!</v>
      </c>
      <c r="S73" s="635">
        <f t="shared" si="2"/>
        <v>0</v>
      </c>
      <c r="T73" s="1314" t="e">
        <f>IF('Input Page'!$F$53="Yes",((O73-K73)/K73),IF('Input Page'!$F$54="Yes",S73/((O73-K73)/K73),""))</f>
        <v>#DIV/0!</v>
      </c>
      <c r="U73" s="1243" t="s">
        <v>641</v>
      </c>
      <c r="V73" s="1"/>
      <c r="W73" s="1"/>
      <c r="X73" s="1"/>
      <c r="Y73" s="1"/>
      <c r="Z73" s="289"/>
      <c r="AA73" s="1"/>
      <c r="AB73" s="1"/>
      <c r="AC73" s="1"/>
      <c r="AD73" s="1"/>
      <c r="AE73" s="289"/>
      <c r="AF73" s="1"/>
      <c r="AG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</row>
    <row r="74" spans="1:62">
      <c r="A74" s="919"/>
      <c r="B74" s="175"/>
      <c r="C74" s="567">
        <f>SUM(C68:C73)</f>
        <v>0</v>
      </c>
      <c r="D74" s="1266" t="e">
        <f>C74/'Unit Mix'!$D$39</f>
        <v>#DIV/0!</v>
      </c>
      <c r="E74" s="1564">
        <f>SUM(E68:E73)</f>
        <v>0</v>
      </c>
      <c r="F74" s="1565" t="e">
        <f>E74/'Unit Mix'!$D$39</f>
        <v>#DIV/0!</v>
      </c>
      <c r="G74" s="1566">
        <f>SUM(G68:G73)</f>
        <v>0</v>
      </c>
      <c r="H74" s="1567" t="e">
        <f>G74/'Unit Mix'!$D$39</f>
        <v>#DIV/0!</v>
      </c>
      <c r="I74" s="1564">
        <f>SUM(I68:I73)</f>
        <v>0</v>
      </c>
      <c r="J74" s="1565" t="e">
        <f>I74/'Unit Mix'!$D$39</f>
        <v>#DIV/0!</v>
      </c>
      <c r="K74" s="1566">
        <f>SUM(K68:K73)</f>
        <v>0</v>
      </c>
      <c r="L74" s="1567" t="e">
        <f>K74/'Unit Mix'!$D$39</f>
        <v>#DIV/0!</v>
      </c>
      <c r="M74" s="1568">
        <f>SUM(M68:M73)</f>
        <v>0</v>
      </c>
      <c r="N74" s="1569" t="e">
        <f>M74/'Unit Mix'!$D$39</f>
        <v>#DIV/0!</v>
      </c>
      <c r="O74" s="1568">
        <f>SUM(O68:O73)</f>
        <v>0</v>
      </c>
      <c r="P74" s="1569" t="e">
        <f>O74/'Unit Mix'!$D$39</f>
        <v>#DIV/0!</v>
      </c>
      <c r="Q74" s="567">
        <f t="shared" si="0"/>
        <v>0</v>
      </c>
      <c r="R74" s="1269" t="e">
        <f t="shared" si="13"/>
        <v>#DIV/0!</v>
      </c>
      <c r="S74" s="567">
        <f t="shared" si="2"/>
        <v>0</v>
      </c>
      <c r="T74" s="1361" t="e">
        <f>IF('Input Page'!$F$53="Yes",((O74-K74)/K74),IF('Input Page'!$F$54="Yes",S74/((O74-K74)/K74),""))</f>
        <v>#DIV/0!</v>
      </c>
      <c r="U74" s="1243"/>
      <c r="V74" s="1"/>
      <c r="W74" s="1"/>
      <c r="X74" s="1"/>
      <c r="Y74" s="1"/>
      <c r="Z74" s="289"/>
      <c r="AA74" s="1"/>
      <c r="AB74" s="1"/>
      <c r="AC74" s="1"/>
      <c r="AD74" s="1"/>
      <c r="AE74" s="289"/>
      <c r="AF74" s="1"/>
      <c r="AG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</row>
    <row r="75" spans="1:62">
      <c r="A75" s="919"/>
      <c r="B75" s="175"/>
      <c r="C75" s="567"/>
      <c r="D75" s="1266"/>
      <c r="E75" s="1250"/>
      <c r="F75" s="1288"/>
      <c r="G75" s="567"/>
      <c r="H75" s="1266"/>
      <c r="I75" s="1250"/>
      <c r="J75" s="1288"/>
      <c r="K75" s="567"/>
      <c r="L75" s="1266"/>
      <c r="M75" s="891"/>
      <c r="N75" s="1311"/>
      <c r="O75" s="891"/>
      <c r="P75" s="1311"/>
      <c r="Q75" s="567"/>
      <c r="R75" s="1269"/>
      <c r="S75" s="567"/>
      <c r="T75" s="1361"/>
      <c r="U75" s="1243"/>
      <c r="V75" s="1"/>
      <c r="W75" s="1"/>
      <c r="X75" s="1"/>
      <c r="Y75" s="1"/>
      <c r="Z75" s="289"/>
      <c r="AA75" s="1"/>
      <c r="AB75" s="1"/>
      <c r="AC75" s="1"/>
      <c r="AD75" s="1"/>
      <c r="AE75" s="289"/>
      <c r="AF75" s="1"/>
      <c r="AG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</row>
    <row r="76" spans="1:62">
      <c r="A76" s="919"/>
      <c r="B76" s="175"/>
      <c r="C76" s="176"/>
      <c r="D76" s="1268"/>
      <c r="E76" s="1252"/>
      <c r="F76" s="1290"/>
      <c r="G76" s="176"/>
      <c r="H76" s="1268"/>
      <c r="I76" s="1252"/>
      <c r="J76" s="1290"/>
      <c r="K76" s="175"/>
      <c r="L76" s="1268"/>
      <c r="M76" s="182"/>
      <c r="N76" s="1313"/>
      <c r="O76" s="182"/>
      <c r="P76" s="1332"/>
      <c r="Q76" s="175"/>
      <c r="R76" s="1346"/>
      <c r="S76" s="175"/>
      <c r="T76" s="1362"/>
      <c r="U76" s="1243"/>
      <c r="V76" s="1"/>
      <c r="W76" s="1"/>
      <c r="X76" s="1"/>
      <c r="Y76" s="1"/>
      <c r="Z76" s="289"/>
      <c r="AA76" s="1"/>
      <c r="AB76" s="1"/>
      <c r="AC76" s="1"/>
      <c r="AD76" s="1"/>
      <c r="AE76" s="289"/>
      <c r="AF76" s="1"/>
      <c r="AG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</row>
    <row r="77" spans="1:62">
      <c r="A77" s="919"/>
      <c r="B77" s="181" t="s">
        <v>450</v>
      </c>
      <c r="C77" s="176"/>
      <c r="D77" s="1268"/>
      <c r="E77" s="1252"/>
      <c r="F77" s="1290"/>
      <c r="G77" s="176"/>
      <c r="H77" s="1268"/>
      <c r="I77" s="1252"/>
      <c r="J77" s="1290"/>
      <c r="K77" s="175"/>
      <c r="L77" s="1268"/>
      <c r="M77" s="182"/>
      <c r="N77" s="1313"/>
      <c r="O77" s="182"/>
      <c r="P77" s="1332"/>
      <c r="Q77" s="175"/>
      <c r="R77" s="1346"/>
      <c r="S77" s="175"/>
      <c r="T77" s="1362"/>
      <c r="U77" s="1243"/>
      <c r="V77" s="1"/>
      <c r="W77" s="1"/>
      <c r="X77" s="1"/>
      <c r="Y77" s="1"/>
      <c r="Z77" s="289"/>
      <c r="AA77" s="1"/>
      <c r="AB77" s="1"/>
      <c r="AC77" s="1"/>
      <c r="AD77" s="1"/>
      <c r="AE77" s="289"/>
      <c r="AF77" s="1"/>
      <c r="AG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</row>
    <row r="78" spans="1:62">
      <c r="A78" s="919">
        <v>6510</v>
      </c>
      <c r="B78" s="186" t="s">
        <v>451</v>
      </c>
      <c r="C78" s="567"/>
      <c r="D78" s="1266" t="e">
        <f>C78/'Unit Mix'!$D$39</f>
        <v>#DIV/0!</v>
      </c>
      <c r="E78" s="1250"/>
      <c r="F78" s="1288" t="e">
        <f>E78/'Unit Mix'!$D$39</f>
        <v>#DIV/0!</v>
      </c>
      <c r="G78" s="567"/>
      <c r="H78" s="1266" t="e">
        <f>G78/'Unit Mix'!$D$39</f>
        <v>#DIV/0!</v>
      </c>
      <c r="I78" s="1250"/>
      <c r="J78" s="1288" t="e">
        <f>I78/'Unit Mix'!$D$39</f>
        <v>#DIV/0!</v>
      </c>
      <c r="K78" s="567"/>
      <c r="L78" s="1266" t="e">
        <f>K78/'Unit Mix'!$D$39</f>
        <v>#DIV/0!</v>
      </c>
      <c r="M78" s="891">
        <f>IF(OR('Input Page'!$G$38="Elderly",'Input Page'!$G$38="Elderly&amp;LIHTC",'Input Page'!$G$38="Elderly&amp;Market")*AND('Input Page'!$E$181&gt;120,'Input Page'!$E$181&lt;201),0,IF(OR('Input Page'!$G$38="Elderly",'Input Page'!$G$38="Elderly&amp;LIHTC",'Input Page'!$G$38="Elderly&amp;Market")*AND('Input Page'!$E$181&gt;200,'Input Page'!$E$181&lt;301),20000,IF(OR('Input Page'!$G$38="Elderly",'Input Page'!$G$38="Elderly&amp;LIHTC",'Input Page'!$G$38="Elderly&amp;Market")*AND('Input Page'!$E$181&gt;300),(32000+20000),IF(OR('Input Page'!$G$38="Family",'Input Page'!$G$38="Family&amp;Elderly",'Input Page'!$G$38="Family&amp;LIHTC",'Input Page'!$G$38="Family&amp;Market")*AND('Input Page'!$E$181&gt;80,'Input Page'!$E$181&lt;121),0,IF(OR('Input Page'!$G$38="Family",'Input Page'!$G$38="Family&amp;Elderly",'Input Page'!$G$38="Family&amp;LIHTC",'Input Page'!$G$38="Family&amp;Market")*AND('Input Page'!$E$181&gt;175,'Input Page'!$E$181&lt;251),(20000),IF(OR('Input Page'!$G$38="Family",'Input Page'!$G$38="Family&amp;Elderly",'Input Page'!$G$38="Family&amp;LIHTC",'Input Page'!$G$38="Family&amp;Market")*AND('Input Page'!$E$181&gt;250,'Input Page'!$E$181&lt;351),(32000),IF(OR('Input Page'!$G$38="Family",'Input Page'!$G$38="Family&amp;Elderly",'Input Page'!$G$38="Family&amp;LIHTC",'Input Page'!$G$38="Family&amp;Market")*AND('Input Page'!$E$181&gt;350,'Input Page'!$E$181&lt;601),(32000+20000),IF(OR('Input Page'!$G$38="Family",'Input Page'!$G$38="Family&amp;Elderly",'Input Page'!$G$38="Family&amp;LIHTC",'Input Page'!$G$38="Family&amp;Market")*AND('Input Page'!$E$181&gt;600),(32000+32000),0))))))))</f>
        <v>0</v>
      </c>
      <c r="N78" s="1311" t="e">
        <f>M78/'Unit Mix'!$D$39</f>
        <v>#DIV/0!</v>
      </c>
      <c r="O78" s="891">
        <f>IF(OR('Input Page'!$G$38="Elderly",'Input Page'!$G$38="Elderly&amp;LIHTC",'Input Page'!$G$38="Elderly&amp;Market")*AND('Input Page'!$E$181&gt;120,'Input Page'!$E$181&lt;201),0,IF(OR('Input Page'!$G$38="Elderly",'Input Page'!$G$38="Elderly&amp;LIHTC",'Input Page'!$G$38="Elderly&amp;Market")*AND('Input Page'!$E$181&gt;200,'Input Page'!$E$181&lt;301),20000,IF(OR('Input Page'!$G$38="Elderly",'Input Page'!$G$38="Elderly&amp;LIHTC",'Input Page'!$G$38="Elderly&amp;Market")*AND('Input Page'!$E$181&gt;300),(32000+20000),IF(OR('Input Page'!$G$38="Family",'Input Page'!$G$38="Family&amp;Elderly",'Input Page'!$G$38="Family&amp;LIHTC",'Input Page'!$G$38="Family&amp;Market")*AND('Input Page'!$E$181&gt;80,'Input Page'!$E$181&lt;121),0,IF(OR('Input Page'!$G$38="Family",'Input Page'!$G$38="Family&amp;Elderly",'Input Page'!$G$38="Family&amp;LIHTC",'Input Page'!$G$38="Family&amp;Market")*AND('Input Page'!$E$181&gt;175,'Input Page'!$E$181&lt;251),(20000),IF(OR('Input Page'!$G$38="Family",'Input Page'!$G$38="Family&amp;Elderly",'Input Page'!$G$38="Family&amp;LIHTC",'Input Page'!$G$38="Family&amp;Market")*AND('Input Page'!$E$181&gt;250,'Input Page'!$E$181&lt;351),(32000),IF(OR('Input Page'!$G$38="Family",'Input Page'!$G$38="Family&amp;Elderly",'Input Page'!$G$38="Family&amp;LIHTC",'Input Page'!$G$38="Family&amp;Market")*AND('Input Page'!$E$181&gt;350,'Input Page'!$E$181&lt;601),(32000+20000),IF(OR('Input Page'!$G$38="Family",'Input Page'!$G$38="Family&amp;Elderly",'Input Page'!$G$38="Family&amp;LIHTC",'Input Page'!$G$38="Family&amp;Market")*AND('Input Page'!$E$181&gt;600),(32000+32000),0))))))))</f>
        <v>0</v>
      </c>
      <c r="P78" s="1311" t="e">
        <f>O78/'Unit Mix'!$D$39</f>
        <v>#DIV/0!</v>
      </c>
      <c r="Q78" s="567">
        <f t="shared" si="0"/>
        <v>0</v>
      </c>
      <c r="R78" s="1269" t="e">
        <f t="shared" ref="R78:R101" si="16">(M78-K78)/K78</f>
        <v>#DIV/0!</v>
      </c>
      <c r="S78" s="567">
        <f t="shared" si="2"/>
        <v>0</v>
      </c>
      <c r="T78" s="1361" t="e">
        <f>IF('Input Page'!$F$53="Yes",((O78-K78)/K78),IF('Input Page'!$F$54="Yes",S78/((O78-K78)/K78),""))</f>
        <v>#DIV/0!</v>
      </c>
      <c r="U78" s="1243" t="s">
        <v>634</v>
      </c>
      <c r="V78" s="1"/>
      <c r="W78" s="1"/>
      <c r="X78" s="1"/>
      <c r="Y78" s="1"/>
      <c r="Z78" s="289"/>
      <c r="AA78" s="1"/>
      <c r="AB78" s="1"/>
      <c r="AC78" s="1"/>
      <c r="AD78" s="1"/>
      <c r="AE78" s="289"/>
      <c r="AF78" s="1"/>
      <c r="AG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</row>
    <row r="79" spans="1:62" hidden="1">
      <c r="A79" s="919"/>
      <c r="B79" s="186" t="s">
        <v>452</v>
      </c>
      <c r="C79" s="567"/>
      <c r="D79" s="1266" t="e">
        <f>C79/'Unit Mix'!$D$39</f>
        <v>#DIV/0!</v>
      </c>
      <c r="E79" s="1250"/>
      <c r="F79" s="1288" t="e">
        <f>E79/'Unit Mix'!$D$39</f>
        <v>#DIV/0!</v>
      </c>
      <c r="G79" s="567"/>
      <c r="H79" s="1266" t="e">
        <f>G79/'Unit Mix'!$D$39</f>
        <v>#DIV/0!</v>
      </c>
      <c r="I79" s="1250"/>
      <c r="J79" s="1288" t="e">
        <f>I79/'Unit Mix'!$D$39</f>
        <v>#DIV/0!</v>
      </c>
      <c r="K79" s="567"/>
      <c r="L79" s="1266" t="e">
        <f>K79/'Unit Mix'!$D$39</f>
        <v>#DIV/0!</v>
      </c>
      <c r="M79" s="891"/>
      <c r="N79" s="1311" t="e">
        <f>M79/'Unit Mix'!$D$39</f>
        <v>#DIV/0!</v>
      </c>
      <c r="O79" s="891"/>
      <c r="P79" s="1311" t="e">
        <f>O79/'Unit Mix'!$D$39</f>
        <v>#DIV/0!</v>
      </c>
      <c r="Q79" s="567">
        <f t="shared" ref="Q79:Q112" si="17">M79-K79</f>
        <v>0</v>
      </c>
      <c r="R79" s="1269" t="e">
        <f t="shared" si="16"/>
        <v>#DIV/0!</v>
      </c>
      <c r="S79" s="567">
        <f t="shared" ref="S79:S115" si="18">O79-K79</f>
        <v>0</v>
      </c>
      <c r="T79" s="1361" t="e">
        <f>IF('Input Page'!$F$53="Yes",((O79-K79)/K79),IF('Input Page'!$F$54="Yes",S79/((O79-K79)/K79),""))</f>
        <v>#DIV/0!</v>
      </c>
      <c r="U79" s="1243"/>
      <c r="V79" s="1"/>
      <c r="W79" s="1"/>
      <c r="X79" s="1"/>
      <c r="Y79" s="1"/>
      <c r="Z79" s="289"/>
      <c r="AA79" s="1"/>
      <c r="AB79" s="1"/>
      <c r="AC79" s="1"/>
      <c r="AD79" s="1"/>
      <c r="AE79" s="289"/>
      <c r="AF79" s="1"/>
      <c r="AG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</row>
    <row r="80" spans="1:62" hidden="1">
      <c r="A80" s="919">
        <v>6515</v>
      </c>
      <c r="B80" s="186" t="s">
        <v>453</v>
      </c>
      <c r="C80" s="567"/>
      <c r="D80" s="1266" t="e">
        <f>C80/'Unit Mix'!$D$39</f>
        <v>#DIV/0!</v>
      </c>
      <c r="E80" s="1250"/>
      <c r="F80" s="1288" t="e">
        <f>E80/'Unit Mix'!$D$39</f>
        <v>#DIV/0!</v>
      </c>
      <c r="G80" s="567"/>
      <c r="H80" s="1266" t="e">
        <f>G80/'Unit Mix'!$D$39</f>
        <v>#DIV/0!</v>
      </c>
      <c r="I80" s="1250"/>
      <c r="J80" s="1288" t="e">
        <f>I80/'Unit Mix'!$D$39</f>
        <v>#DIV/0!</v>
      </c>
      <c r="K80" s="567"/>
      <c r="L80" s="1266" t="e">
        <f>K80/'Unit Mix'!$D$39</f>
        <v>#DIV/0!</v>
      </c>
      <c r="M80" s="891"/>
      <c r="N80" s="1311" t="e">
        <f>M80/'Unit Mix'!$D$39</f>
        <v>#DIV/0!</v>
      </c>
      <c r="O80" s="891"/>
      <c r="P80" s="1311" t="e">
        <f>O80/'Unit Mix'!$D$39</f>
        <v>#DIV/0!</v>
      </c>
      <c r="Q80" s="567">
        <f t="shared" si="17"/>
        <v>0</v>
      </c>
      <c r="R80" s="1269" t="e">
        <f t="shared" si="16"/>
        <v>#DIV/0!</v>
      </c>
      <c r="S80" s="567">
        <f t="shared" si="18"/>
        <v>0</v>
      </c>
      <c r="T80" s="1361" t="e">
        <f>IF('Input Page'!$F$53="Yes",((O80-K80)/K80),IF('Input Page'!$F$54="Yes",S80/((O80-K80)/K80),""))</f>
        <v>#DIV/0!</v>
      </c>
      <c r="U80" s="1243" t="s">
        <v>633</v>
      </c>
      <c r="V80" s="1"/>
      <c r="W80" s="1"/>
      <c r="X80" s="1"/>
      <c r="Y80" s="1"/>
      <c r="Z80" s="289"/>
      <c r="AA80" s="1"/>
      <c r="AB80" s="1"/>
      <c r="AC80" s="1"/>
      <c r="AD80" s="1"/>
      <c r="AE80" s="289"/>
      <c r="AF80" s="1"/>
      <c r="AG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</row>
    <row r="81" spans="1:62">
      <c r="A81" s="919">
        <v>6517</v>
      </c>
      <c r="B81" s="186" t="s">
        <v>454</v>
      </c>
      <c r="C81" s="567"/>
      <c r="D81" s="1266" t="e">
        <f>C81/'Unit Mix'!$D$39</f>
        <v>#DIV/0!</v>
      </c>
      <c r="E81" s="1250"/>
      <c r="F81" s="1288" t="e">
        <f>E81/'Unit Mix'!$D$39</f>
        <v>#DIV/0!</v>
      </c>
      <c r="G81" s="567"/>
      <c r="H81" s="1266" t="e">
        <f>G81/'Unit Mix'!$D$39</f>
        <v>#DIV/0!</v>
      </c>
      <c r="I81" s="1250"/>
      <c r="J81" s="1288" t="e">
        <f>I81/'Unit Mix'!$D$39</f>
        <v>#DIV/0!</v>
      </c>
      <c r="K81" s="567"/>
      <c r="L81" s="1266" t="e">
        <f>K81/'Unit Mix'!$D$39</f>
        <v>#DIV/0!</v>
      </c>
      <c r="M81" s="891"/>
      <c r="N81" s="1311" t="e">
        <f>M81/'Unit Mix'!$D$39</f>
        <v>#DIV/0!</v>
      </c>
      <c r="O81" s="891"/>
      <c r="P81" s="1311" t="e">
        <f>O81/'Unit Mix'!$D$39</f>
        <v>#DIV/0!</v>
      </c>
      <c r="Q81" s="567">
        <f t="shared" si="17"/>
        <v>0</v>
      </c>
      <c r="R81" s="1269" t="e">
        <f t="shared" si="16"/>
        <v>#DIV/0!</v>
      </c>
      <c r="S81" s="567">
        <f t="shared" si="18"/>
        <v>0</v>
      </c>
      <c r="T81" s="1361" t="e">
        <f>IF('Input Page'!$F$53="Yes",((O81-K81)/K81),IF('Input Page'!$F$54="Yes",S81/((O81-K81)/K81),""))</f>
        <v>#DIV/0!</v>
      </c>
      <c r="U81" s="1243" t="s">
        <v>634</v>
      </c>
      <c r="V81" s="1"/>
      <c r="W81" s="1"/>
      <c r="X81" s="1"/>
      <c r="Y81" s="1"/>
      <c r="Z81" s="289"/>
      <c r="AA81" s="1"/>
      <c r="AB81" s="1"/>
      <c r="AC81" s="1"/>
      <c r="AD81" s="1"/>
      <c r="AE81" s="289"/>
      <c r="AF81" s="1"/>
      <c r="AG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</row>
    <row r="82" spans="1:62">
      <c r="A82" s="919">
        <v>6519</v>
      </c>
      <c r="B82" s="186" t="s">
        <v>455</v>
      </c>
      <c r="C82" s="567"/>
      <c r="D82" s="1266" t="e">
        <f>C82/'Unit Mix'!$D$39</f>
        <v>#DIV/0!</v>
      </c>
      <c r="E82" s="1250"/>
      <c r="F82" s="1288" t="e">
        <f>E82/'Unit Mix'!$D$39</f>
        <v>#DIV/0!</v>
      </c>
      <c r="G82" s="567"/>
      <c r="H82" s="1266" t="e">
        <f>G82/'Unit Mix'!$D$39</f>
        <v>#DIV/0!</v>
      </c>
      <c r="I82" s="1250"/>
      <c r="J82" s="1288" t="e">
        <f>I82/'Unit Mix'!$D$39</f>
        <v>#DIV/0!</v>
      </c>
      <c r="K82" s="567"/>
      <c r="L82" s="1266" t="e">
        <f>K82/'Unit Mix'!$D$39</f>
        <v>#DIV/0!</v>
      </c>
      <c r="M82" s="891"/>
      <c r="N82" s="1311" t="e">
        <f>M82/'Unit Mix'!$D$39</f>
        <v>#DIV/0!</v>
      </c>
      <c r="O82" s="891"/>
      <c r="P82" s="1311" t="e">
        <f>O82/'Unit Mix'!$D$39</f>
        <v>#DIV/0!</v>
      </c>
      <c r="Q82" s="567">
        <f t="shared" si="17"/>
        <v>0</v>
      </c>
      <c r="R82" s="1269" t="e">
        <f t="shared" si="16"/>
        <v>#DIV/0!</v>
      </c>
      <c r="S82" s="567">
        <f t="shared" si="18"/>
        <v>0</v>
      </c>
      <c r="T82" s="1361" t="e">
        <f>IF('Input Page'!$F$53="Yes",((O82-K82)/K82),IF('Input Page'!$F$54="Yes",S82/((O82-K82)/K82),""))</f>
        <v>#DIV/0!</v>
      </c>
      <c r="U82" s="1243" t="s">
        <v>634</v>
      </c>
      <c r="V82" s="1"/>
      <c r="W82" s="1"/>
      <c r="X82" s="1"/>
      <c r="Y82" s="1"/>
      <c r="Z82" s="289"/>
      <c r="AA82" s="1"/>
      <c r="AB82" s="1"/>
      <c r="AC82" s="1"/>
      <c r="AD82" s="1"/>
      <c r="AE82" s="289"/>
      <c r="AF82" s="1"/>
      <c r="AG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</row>
    <row r="83" spans="1:62" hidden="1">
      <c r="A83" s="919">
        <v>6520</v>
      </c>
      <c r="B83" s="186" t="s">
        <v>456</v>
      </c>
      <c r="C83" s="567"/>
      <c r="D83" s="1266" t="e">
        <f>C83/'Unit Mix'!$D$39</f>
        <v>#DIV/0!</v>
      </c>
      <c r="E83" s="1250"/>
      <c r="F83" s="1288" t="e">
        <f>E83/'Unit Mix'!$D$39</f>
        <v>#DIV/0!</v>
      </c>
      <c r="G83" s="567"/>
      <c r="H83" s="1266" t="e">
        <f>G83/'Unit Mix'!$D$39</f>
        <v>#DIV/0!</v>
      </c>
      <c r="I83" s="1250"/>
      <c r="J83" s="1288" t="e">
        <f>I83/'Unit Mix'!$D$39</f>
        <v>#DIV/0!</v>
      </c>
      <c r="K83" s="567"/>
      <c r="L83" s="1266" t="e">
        <f>K83/'Unit Mix'!$D$39</f>
        <v>#DIV/0!</v>
      </c>
      <c r="M83" s="891"/>
      <c r="N83" s="1311" t="e">
        <f>M83/'Unit Mix'!$D$39</f>
        <v>#DIV/0!</v>
      </c>
      <c r="O83" s="891"/>
      <c r="P83" s="1311" t="e">
        <f>O83/'Unit Mix'!$D$39</f>
        <v>#DIV/0!</v>
      </c>
      <c r="Q83" s="567">
        <f t="shared" si="17"/>
        <v>0</v>
      </c>
      <c r="R83" s="1269" t="e">
        <f t="shared" si="16"/>
        <v>#DIV/0!</v>
      </c>
      <c r="S83" s="567">
        <f t="shared" si="18"/>
        <v>0</v>
      </c>
      <c r="T83" s="1361" t="e">
        <f>IF('Input Page'!$F$53="Yes",((O83-K83)/K83),IF('Input Page'!$F$54="Yes",S83/((O83-K83)/K83),""))</f>
        <v>#DIV/0!</v>
      </c>
      <c r="U83" s="1243"/>
      <c r="V83" s="1"/>
      <c r="W83" s="1"/>
      <c r="X83" s="1"/>
      <c r="Y83" s="1"/>
      <c r="Z83" s="289"/>
      <c r="AA83" s="1"/>
      <c r="AB83" s="1"/>
      <c r="AC83" s="1"/>
      <c r="AD83" s="1"/>
      <c r="AE83" s="289"/>
      <c r="AF83" s="1"/>
      <c r="AG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</row>
    <row r="84" spans="1:62">
      <c r="A84" s="919">
        <v>6525</v>
      </c>
      <c r="B84" s="186" t="s">
        <v>457</v>
      </c>
      <c r="C84" s="567"/>
      <c r="D84" s="1266" t="e">
        <f>C84/'Unit Mix'!$D$39</f>
        <v>#DIV/0!</v>
      </c>
      <c r="E84" s="1250"/>
      <c r="F84" s="1288" t="e">
        <f>E84/'Unit Mix'!$D$39</f>
        <v>#DIV/0!</v>
      </c>
      <c r="G84" s="567"/>
      <c r="H84" s="1266" t="e">
        <f>G84/'Unit Mix'!$D$39</f>
        <v>#DIV/0!</v>
      </c>
      <c r="I84" s="1250"/>
      <c r="J84" s="1288" t="e">
        <f>I84/'Unit Mix'!$D$39</f>
        <v>#DIV/0!</v>
      </c>
      <c r="K84" s="567"/>
      <c r="L84" s="1266" t="e">
        <f>K84/'Unit Mix'!$D$39</f>
        <v>#DIV/0!</v>
      </c>
      <c r="M84" s="891"/>
      <c r="N84" s="1311" t="e">
        <f>M84/'Unit Mix'!$D$39</f>
        <v>#DIV/0!</v>
      </c>
      <c r="O84" s="891"/>
      <c r="P84" s="1311" t="e">
        <f>O84/'Unit Mix'!$D$39</f>
        <v>#DIV/0!</v>
      </c>
      <c r="Q84" s="567">
        <f t="shared" si="17"/>
        <v>0</v>
      </c>
      <c r="R84" s="1269" t="e">
        <f t="shared" si="16"/>
        <v>#DIV/0!</v>
      </c>
      <c r="S84" s="567">
        <f t="shared" si="18"/>
        <v>0</v>
      </c>
      <c r="T84" s="1361" t="e">
        <f>IF('Input Page'!$F$53="Yes",((O84-K84)/K84),IF('Input Page'!$F$54="Yes",S84/((O84-K84)/K84),""))</f>
        <v>#DIV/0!</v>
      </c>
      <c r="U84" s="1243" t="s">
        <v>633</v>
      </c>
      <c r="V84" s="1"/>
      <c r="W84" s="1"/>
      <c r="X84" s="1"/>
      <c r="Y84" s="1"/>
      <c r="Z84" s="289"/>
      <c r="AA84" s="1"/>
      <c r="AB84" s="1"/>
      <c r="AC84" s="1"/>
      <c r="AD84" s="1"/>
      <c r="AE84" s="289"/>
      <c r="AF84" s="1"/>
      <c r="AG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</row>
    <row r="85" spans="1:62" hidden="1">
      <c r="A85" s="919">
        <v>6530</v>
      </c>
      <c r="B85" s="186" t="s">
        <v>458</v>
      </c>
      <c r="C85" s="567"/>
      <c r="D85" s="1266" t="e">
        <f>C85/'Unit Mix'!$D$39</f>
        <v>#DIV/0!</v>
      </c>
      <c r="E85" s="1250"/>
      <c r="F85" s="1288" t="e">
        <f>E85/'Unit Mix'!$D$39</f>
        <v>#DIV/0!</v>
      </c>
      <c r="G85" s="567"/>
      <c r="H85" s="1266" t="e">
        <f>G85/'Unit Mix'!$D$39</f>
        <v>#DIV/0!</v>
      </c>
      <c r="I85" s="1250"/>
      <c r="J85" s="1288" t="e">
        <f>I85/'Unit Mix'!$D$39</f>
        <v>#DIV/0!</v>
      </c>
      <c r="K85" s="567"/>
      <c r="L85" s="1266" t="e">
        <f>K85/'Unit Mix'!$D$39</f>
        <v>#DIV/0!</v>
      </c>
      <c r="M85" s="891"/>
      <c r="N85" s="1311" t="e">
        <f>M85/'Unit Mix'!$D$39</f>
        <v>#DIV/0!</v>
      </c>
      <c r="O85" s="891"/>
      <c r="P85" s="1311" t="e">
        <f>O85/'Unit Mix'!$D$39</f>
        <v>#DIV/0!</v>
      </c>
      <c r="Q85" s="567">
        <f t="shared" si="17"/>
        <v>0</v>
      </c>
      <c r="R85" s="1269" t="e">
        <f t="shared" si="16"/>
        <v>#DIV/0!</v>
      </c>
      <c r="S85" s="567">
        <f t="shared" si="18"/>
        <v>0</v>
      </c>
      <c r="T85" s="1361" t="e">
        <f>IF('Input Page'!$F$53="Yes",((O85-K85)/K85),IF('Input Page'!$F$54="Yes",S85/((O85-K85)/K85),""))</f>
        <v>#DIV/0!</v>
      </c>
      <c r="U85" s="1243" t="s">
        <v>642</v>
      </c>
      <c r="V85" s="1"/>
      <c r="W85" s="1"/>
      <c r="X85" s="1"/>
      <c r="Y85" s="1"/>
      <c r="Z85" s="289"/>
      <c r="AA85" s="1"/>
      <c r="AB85" s="1"/>
      <c r="AC85" s="1"/>
      <c r="AD85" s="1"/>
      <c r="AE85" s="289"/>
      <c r="AF85" s="1"/>
      <c r="AG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</row>
    <row r="86" spans="1:62" hidden="1">
      <c r="A86" s="919">
        <v>6535</v>
      </c>
      <c r="B86" s="186" t="s">
        <v>459</v>
      </c>
      <c r="C86" s="567"/>
      <c r="D86" s="1266" t="e">
        <f>C86/'Unit Mix'!$D$39</f>
        <v>#DIV/0!</v>
      </c>
      <c r="E86" s="1250"/>
      <c r="F86" s="1288" t="e">
        <f>E86/'Unit Mix'!$D$39</f>
        <v>#DIV/0!</v>
      </c>
      <c r="G86" s="567"/>
      <c r="H86" s="1266" t="e">
        <f>G86/'Unit Mix'!$D$39</f>
        <v>#DIV/0!</v>
      </c>
      <c r="I86" s="1250"/>
      <c r="J86" s="1288" t="e">
        <f>I86/'Unit Mix'!$D$39</f>
        <v>#DIV/0!</v>
      </c>
      <c r="K86" s="567"/>
      <c r="L86" s="1266" t="e">
        <f>K86/'Unit Mix'!$D$39</f>
        <v>#DIV/0!</v>
      </c>
      <c r="M86" s="891"/>
      <c r="N86" s="1311" t="e">
        <f>M86/'Unit Mix'!$D$39</f>
        <v>#DIV/0!</v>
      </c>
      <c r="O86" s="891"/>
      <c r="P86" s="1311" t="e">
        <f>O86/'Unit Mix'!$D$39</f>
        <v>#DIV/0!</v>
      </c>
      <c r="Q86" s="567">
        <f t="shared" si="17"/>
        <v>0</v>
      </c>
      <c r="R86" s="1269" t="e">
        <f t="shared" si="16"/>
        <v>#DIV/0!</v>
      </c>
      <c r="S86" s="567">
        <f t="shared" si="18"/>
        <v>0</v>
      </c>
      <c r="T86" s="1361" t="e">
        <f>IF('Input Page'!$F$53="Yes",((O86-K86)/K86),IF('Input Page'!$F$54="Yes",S86/((O86-K86)/K86),""))</f>
        <v>#DIV/0!</v>
      </c>
      <c r="U86" s="1243"/>
      <c r="V86" s="1"/>
      <c r="W86" s="1"/>
      <c r="X86" s="1"/>
      <c r="Y86" s="1"/>
      <c r="Z86" s="289"/>
      <c r="AA86" s="1"/>
      <c r="AB86" s="1"/>
      <c r="AC86" s="1"/>
      <c r="AD86" s="1"/>
      <c r="AE86" s="289"/>
      <c r="AF86" s="1"/>
      <c r="AG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</row>
    <row r="87" spans="1:62">
      <c r="A87" s="919">
        <v>6536</v>
      </c>
      <c r="B87" s="186" t="s">
        <v>460</v>
      </c>
      <c r="C87" s="567"/>
      <c r="D87" s="1266" t="e">
        <f>C87/'Unit Mix'!$D$39</f>
        <v>#DIV/0!</v>
      </c>
      <c r="E87" s="1250"/>
      <c r="F87" s="1288" t="e">
        <f>E87/'Unit Mix'!$D$39</f>
        <v>#DIV/0!</v>
      </c>
      <c r="G87" s="567"/>
      <c r="H87" s="1266" t="e">
        <f>G87/'Unit Mix'!$D$39</f>
        <v>#DIV/0!</v>
      </c>
      <c r="I87" s="1250"/>
      <c r="J87" s="1288" t="e">
        <f>I87/'Unit Mix'!$D$39</f>
        <v>#DIV/0!</v>
      </c>
      <c r="K87" s="567"/>
      <c r="L87" s="1266" t="e">
        <f>K87/'Unit Mix'!$D$39</f>
        <v>#DIV/0!</v>
      </c>
      <c r="M87" s="891"/>
      <c r="N87" s="1311" t="e">
        <f>M87/'Unit Mix'!$D$39</f>
        <v>#DIV/0!</v>
      </c>
      <c r="O87" s="891"/>
      <c r="P87" s="1311" t="e">
        <f>O87/'Unit Mix'!$D$39</f>
        <v>#DIV/0!</v>
      </c>
      <c r="Q87" s="567">
        <f t="shared" si="17"/>
        <v>0</v>
      </c>
      <c r="R87" s="1269" t="e">
        <f t="shared" si="16"/>
        <v>#DIV/0!</v>
      </c>
      <c r="S87" s="567">
        <f t="shared" si="18"/>
        <v>0</v>
      </c>
      <c r="T87" s="1361" t="e">
        <f>IF('Input Page'!$F$53="Yes",((O87-K87)/K87),IF('Input Page'!$F$54="Yes",S87/((O87-K87)/K87),""))</f>
        <v>#DIV/0!</v>
      </c>
      <c r="U87" s="1243"/>
      <c r="V87" s="1"/>
      <c r="W87" s="1"/>
      <c r="X87" s="1"/>
      <c r="Y87" s="1"/>
      <c r="Z87" s="289"/>
      <c r="AA87" s="1"/>
      <c r="AB87" s="1"/>
      <c r="AC87" s="1"/>
      <c r="AD87" s="1"/>
      <c r="AE87" s="289"/>
      <c r="AF87" s="1"/>
      <c r="AG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</row>
    <row r="88" spans="1:62">
      <c r="A88" s="919">
        <v>6537</v>
      </c>
      <c r="B88" s="186" t="s">
        <v>461</v>
      </c>
      <c r="C88" s="567"/>
      <c r="D88" s="1266" t="e">
        <f>C88/'Unit Mix'!$D$39</f>
        <v>#DIV/0!</v>
      </c>
      <c r="E88" s="1250"/>
      <c r="F88" s="1288" t="e">
        <f>E88/'Unit Mix'!$D$39</f>
        <v>#DIV/0!</v>
      </c>
      <c r="G88" s="567"/>
      <c r="H88" s="1266" t="e">
        <f>G88/'Unit Mix'!$D$39</f>
        <v>#DIV/0!</v>
      </c>
      <c r="I88" s="1250"/>
      <c r="J88" s="1288" t="e">
        <f>I88/'Unit Mix'!$D$39</f>
        <v>#DIV/0!</v>
      </c>
      <c r="K88" s="567"/>
      <c r="L88" s="1266" t="e">
        <f>K88/'Unit Mix'!$D$39</f>
        <v>#DIV/0!</v>
      </c>
      <c r="M88" s="891"/>
      <c r="N88" s="1311" t="e">
        <f>M88/'Unit Mix'!$D$39</f>
        <v>#DIV/0!</v>
      </c>
      <c r="O88" s="891"/>
      <c r="P88" s="1311" t="e">
        <f>O88/'Unit Mix'!$D$39</f>
        <v>#DIV/0!</v>
      </c>
      <c r="Q88" s="567">
        <f t="shared" si="17"/>
        <v>0</v>
      </c>
      <c r="R88" s="1269" t="e">
        <f t="shared" si="16"/>
        <v>#DIV/0!</v>
      </c>
      <c r="S88" s="567">
        <f t="shared" si="18"/>
        <v>0</v>
      </c>
      <c r="T88" s="1361" t="e">
        <f>IF('Input Page'!$F$53="Yes",((O88-K88)/K88),IF('Input Page'!$F$54="Yes",S88/((O88-K88)/K88),""))</f>
        <v>#DIV/0!</v>
      </c>
      <c r="U88" s="1243" t="s">
        <v>643</v>
      </c>
      <c r="V88" s="1"/>
      <c r="W88" s="1"/>
      <c r="X88" s="1"/>
      <c r="Y88" s="1"/>
      <c r="Z88" s="289"/>
      <c r="AA88" s="1"/>
      <c r="AB88" s="1"/>
      <c r="AC88" s="1"/>
      <c r="AD88" s="1"/>
      <c r="AE88" s="289"/>
      <c r="AF88" s="1"/>
      <c r="AG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</row>
    <row r="89" spans="1:62">
      <c r="A89" s="919">
        <v>6540</v>
      </c>
      <c r="B89" s="186" t="s">
        <v>462</v>
      </c>
      <c r="C89" s="567"/>
      <c r="D89" s="1266" t="e">
        <f>C89/'Unit Mix'!$D$39</f>
        <v>#DIV/0!</v>
      </c>
      <c r="E89" s="1250"/>
      <c r="F89" s="1288" t="e">
        <f>E89/'Unit Mix'!$D$39</f>
        <v>#DIV/0!</v>
      </c>
      <c r="G89" s="567"/>
      <c r="H89" s="1266" t="e">
        <f>G89/'Unit Mix'!$D$39</f>
        <v>#DIV/0!</v>
      </c>
      <c r="I89" s="1250"/>
      <c r="J89" s="1288" t="e">
        <f>I89/'Unit Mix'!$D$39</f>
        <v>#DIV/0!</v>
      </c>
      <c r="K89" s="567"/>
      <c r="L89" s="1266" t="e">
        <f>K89/'Unit Mix'!$D$39</f>
        <v>#DIV/0!</v>
      </c>
      <c r="M89" s="891">
        <f>IF('Input Page'!$E$181&lt;50,30000,IF(OR('Input Page'!$G$38="Elderly",'Input Page'!$G$38="Elderly&amp;LIHTC",'Input Page'!$G$38="Elderly&amp;Market")*AND('Input Page'!$E$181&lt;76),40000,IF(OR('Input Page'!$G$38="Elderly",'Input Page'!$G$38="Elderly&amp;LIHTC",'Input Page'!$G$38="Elderly&amp;Market")*AND('Input Page'!$E$181&gt;75,'Input Page'!$E$181&lt;120),(40000+30000),IF(OR('Input Page'!$G$38="Elderly",'Input Page'!$G$38="Elderly&amp;LIHTC",'Input Page'!$G$38="Elderly&amp;Market")*AND('Input Page'!$E$181&gt;120,'Input Page'!$E$181&lt;201),(42000+37500),IF(OR('Input Page'!$G$38="Elderly",'Input Page'!$G$38="Elderly&amp;LIHTC",'Input Page'!$G$38="Elderly&amp;Market")*AND('Input Page'!$E$181&gt;200,'Input Page'!$E$181&lt;301),(42000+37500+2000),IF(OR('Input Page'!$G$38="Elderly",'Input Page'!$G$38="Elderly&amp;LIHTC",'Input Page'!$G$38="Elderly&amp;Market")*AND('Input Page'!$E$181&gt;300,'Input Page'!$E$181&lt;401),(44000+40000+37500+30000+37500),IF(OR('Input Page'!$G$38="Elderly",'Input Page'!$G$38="Elderly&amp;LIHTC",'Input Page'!$G$38="Elderly&amp;Market")*AND('Input Page'!$E$181&gt;400),(44000+40000+37500+30000+37500+37500+20000),IF(OR('Input Page'!$G$38="Family",'Input Page'!$G$38="Family&amp;Elderly",'Input Page'!$G$38="Family&amp;LIHTC",'Input Page'!$G$38="Family&amp;Market")*AND('Input Page'!$E$181&lt;71),42000,IF(OR('Input Page'!$G$38="Family",'Input Page'!$G$38="Family&amp;Elderly",'Input Page'!$G$38="Family&amp;LIHTC",'Input Page'!$G$38="Family&amp;Market")*AND('Input Page'!$E$181&gt;70,'Input Page'!$E$181&lt;131),(40000+35000),IF(OR('Input Page'!$G$38="Family",'Input Page'!$G$38="Family&amp;Elderly",'Input Page'!$G$38="Family&amp;LIHTC",'Input Page'!$G$38="Family&amp;Market")*AND('Input Page'!$E$181&gt;130,'Input Page'!$E$181&lt;161),(40000+35000+25000),IF(OR('Input Page'!$G$38="Family",'Input Page'!$G$38="Family&amp;Elderly",'Input Page'!$G$38="Family&amp;LIHTC",'Input Page'!$G$38="Family&amp;Market")*AND('Input Page'!$E$181&gt;160,'Input Page'!$E$181&lt;251),(20000+35000+39000+42000),IF(OR('Input Page'!$G$38="Family",'Input Page'!$G$38="Family&amp;Elderly",'Input Page'!$G$38="Family&amp;LIHTC",'Input Page'!$G$38="Family&amp;Market")*AND('Input Page'!$E$181&gt;250,'Input Page'!$E$181&lt;351),(20000+44000+37500+35000+35000+40000),IF(OR('Input Page'!$G$38="Family",'Input Page'!$G$38="Family&amp;Elderly",'Input Page'!$G$38="Family&amp;LIHTC",'Input Page'!$G$38="Family&amp;Market")*AND('Input Page'!$E$181&gt;350,'Input Page'!$E$181&lt;601),(37500+48000+37500+44000+35000+37500+40000+35000+35000),IF(OR('Input Page'!$G$38="Family",'Input Page'!$G$38="Family&amp;Elderly",'Input Page'!$G$38="Family&amp;LIHTC",'Input Page'!$G$38="Family&amp;Market")*AND('Input Page'!$E$181&gt;600),(37500+40000+37500+44000+48000+37500+40000+37500+30000+50000+37500+30000),0))))))))))))))</f>
        <v>30000</v>
      </c>
      <c r="N89" s="1311" t="e">
        <f>M89/'Unit Mix'!$D$39</f>
        <v>#DIV/0!</v>
      </c>
      <c r="O89" s="891">
        <f>IF('Input Page'!$E$181&lt;50,30000,IF(OR('Input Page'!$G$38="Elderly",'Input Page'!$G$38="Elderly&amp;LIHTC",'Input Page'!$G$38="Elderly&amp;Market")*AND('Input Page'!$E$181&lt;76),40000,IF(OR('Input Page'!$G$38="Elderly",'Input Page'!$G$38="Elderly&amp;LIHTC",'Input Page'!$G$38="Elderly&amp;Market")*AND('Input Page'!$E$181&gt;75,'Input Page'!$E$181&lt;120),(40000+30000),IF(OR('Input Page'!$G$38="Elderly",'Input Page'!$G$38="Elderly&amp;LIHTC",'Input Page'!$G$38="Elderly&amp;Market")*AND('Input Page'!$E$181&gt;120,'Input Page'!$E$181&lt;201),(42000+37500),IF(OR('Input Page'!$G$38="Elderly",'Input Page'!$G$38="Elderly&amp;LIHTC",'Input Page'!$G$38="Elderly&amp;Market")*AND('Input Page'!$E$181&gt;200,'Input Page'!$E$181&lt;301),(42000+37500+2000),IF(OR('Input Page'!$G$38="Elderly",'Input Page'!$G$38="Elderly&amp;LIHTC",'Input Page'!$G$38="Elderly&amp;Market")*AND('Input Page'!$E$181&gt;300,'Input Page'!$E$181&lt;401),(44000+40000+37500+30000+37500),IF(OR('Input Page'!$G$38="Elderly",'Input Page'!$G$38="Elderly&amp;LIHTC",'Input Page'!$G$38="Elderly&amp;Market")*AND('Input Page'!$E$181&gt;400),(44000+40000+37500+30000+37500+37500+20000),IF(OR('Input Page'!$G$38="Family",'Input Page'!$G$38="Family&amp;Elderly",'Input Page'!$G$38="Family&amp;LIHTC",'Input Page'!$G$38="Family&amp;Market")*AND('Input Page'!$E$181&lt;71),42000,IF(OR('Input Page'!$G$38="Family",'Input Page'!$G$38="Family&amp;Elderly",'Input Page'!$G$38="Family&amp;LIHTC",'Input Page'!$G$38="Family&amp;Market")*AND('Input Page'!$E$181&gt;70,'Input Page'!$E$181&lt;131),(40000+35000),IF(OR('Input Page'!$G$38="Family",'Input Page'!$G$38="Family&amp;Elderly",'Input Page'!$G$38="Family&amp;LIHTC",'Input Page'!$G$38="Family&amp;Market")*AND('Input Page'!$E$181&gt;130,'Input Page'!$E$181&lt;161),(40000+35000+25000),IF(OR('Input Page'!$G$38="Family",'Input Page'!$G$38="Family&amp;Elderly",'Input Page'!$G$38="Family&amp;LIHTC",'Input Page'!$G$38="Family&amp;Market")*AND('Input Page'!$E$181&gt;160,'Input Page'!$E$181&lt;251),(20000+35000+39000+42000),IF(OR('Input Page'!$G$38="Family",'Input Page'!$G$38="Family&amp;Elderly",'Input Page'!$G$38="Family&amp;LIHTC",'Input Page'!$G$38="Family&amp;Market")*AND('Input Page'!$E$181&gt;250,'Input Page'!$E$181&lt;351),(20000+44000+37500+35000+35000+40000),IF(OR('Input Page'!$G$38="Family",'Input Page'!$G$38="Family&amp;Elderly",'Input Page'!$G$38="Family&amp;LIHTC",'Input Page'!$G$38="Family&amp;Market")*AND('Input Page'!$E$181&gt;350,'Input Page'!$E$181&lt;601),(37500+48000+37500+44000+35000+37500+40000+35000+35000),IF(OR('Input Page'!$G$38="Family",'Input Page'!$G$38="Family&amp;Elderly",'Input Page'!$G$38="Family&amp;LIHTC",'Input Page'!$G$38="Family&amp;Market")*AND('Input Page'!$E$181&gt;600),(37500+40000+37500+44000+48000+37500+40000+37500+30000+50000+37500+30000),0))))))))))))))</f>
        <v>30000</v>
      </c>
      <c r="P89" s="1311" t="e">
        <f>O89/'Unit Mix'!$D$39</f>
        <v>#DIV/0!</v>
      </c>
      <c r="Q89" s="567">
        <f t="shared" si="17"/>
        <v>30000</v>
      </c>
      <c r="R89" s="1269" t="e">
        <f>(M89-K89)/K89</f>
        <v>#DIV/0!</v>
      </c>
      <c r="S89" s="567">
        <f t="shared" si="18"/>
        <v>30000</v>
      </c>
      <c r="T89" s="1361" t="e">
        <f>IF('Input Page'!$F$53="Yes",((O89-K89)/K89),IF('Input Page'!$F$54="Yes",S89/((O89-K89)/K89),""))</f>
        <v>#DIV/0!</v>
      </c>
      <c r="U89" s="1243" t="s">
        <v>634</v>
      </c>
      <c r="V89" s="1"/>
      <c r="W89" s="1"/>
      <c r="X89" s="1"/>
      <c r="Y89" s="1"/>
      <c r="Z89" s="289"/>
      <c r="AA89" s="1"/>
      <c r="AB89" s="1"/>
      <c r="AC89" s="1"/>
      <c r="AD89" s="1"/>
      <c r="AE89" s="289"/>
      <c r="AF89" s="1"/>
      <c r="AG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</row>
    <row r="90" spans="1:62">
      <c r="A90" s="919">
        <v>6541</v>
      </c>
      <c r="B90" s="186" t="s">
        <v>463</v>
      </c>
      <c r="C90" s="567"/>
      <c r="D90" s="1266" t="e">
        <f>C90/'Unit Mix'!$D$39</f>
        <v>#DIV/0!</v>
      </c>
      <c r="E90" s="1250"/>
      <c r="F90" s="1288" t="e">
        <f>E90/'Unit Mix'!$D$39</f>
        <v>#DIV/0!</v>
      </c>
      <c r="G90" s="567"/>
      <c r="H90" s="1266" t="e">
        <f>G90/'Unit Mix'!$D$39</f>
        <v>#DIV/0!</v>
      </c>
      <c r="I90" s="1250"/>
      <c r="J90" s="1288" t="e">
        <f>I90/'Unit Mix'!$D$39</f>
        <v>#DIV/0!</v>
      </c>
      <c r="K90" s="567"/>
      <c r="L90" s="1266" t="e">
        <f>K90/'Unit Mix'!$D$39</f>
        <v>#DIV/0!</v>
      </c>
      <c r="M90" s="891"/>
      <c r="N90" s="1311" t="e">
        <f>M90/'Unit Mix'!$D$39</f>
        <v>#DIV/0!</v>
      </c>
      <c r="O90" s="891"/>
      <c r="P90" s="1311" t="e">
        <f>O90/'Unit Mix'!$D$39</f>
        <v>#DIV/0!</v>
      </c>
      <c r="Q90" s="567">
        <f t="shared" si="17"/>
        <v>0</v>
      </c>
      <c r="R90" s="1269" t="e">
        <f t="shared" si="16"/>
        <v>#DIV/0!</v>
      </c>
      <c r="S90" s="567">
        <f t="shared" si="18"/>
        <v>0</v>
      </c>
      <c r="T90" s="1361" t="e">
        <f>IF('Input Page'!$F$53="Yes",((O90-K90)/K90),IF('Input Page'!$F$54="Yes",S90/((O90-K90)/K90),""))</f>
        <v>#DIV/0!</v>
      </c>
      <c r="U90" s="1243" t="s">
        <v>644</v>
      </c>
      <c r="V90" s="1"/>
      <c r="W90" s="1"/>
      <c r="X90" s="1"/>
      <c r="Y90" s="1"/>
      <c r="Z90" s="289"/>
      <c r="AA90" s="1"/>
      <c r="AB90" s="1"/>
      <c r="AC90" s="1"/>
      <c r="AD90" s="1"/>
      <c r="AE90" s="289"/>
      <c r="AF90" s="1"/>
      <c r="AG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</row>
    <row r="91" spans="1:62">
      <c r="A91" s="919">
        <v>6542</v>
      </c>
      <c r="B91" s="186" t="s">
        <v>464</v>
      </c>
      <c r="C91" s="567"/>
      <c r="D91" s="1266" t="e">
        <f>C91/'Unit Mix'!$D$39</f>
        <v>#DIV/0!</v>
      </c>
      <c r="E91" s="1250"/>
      <c r="F91" s="1288" t="e">
        <f>E91/'Unit Mix'!$D$39</f>
        <v>#DIV/0!</v>
      </c>
      <c r="G91" s="567"/>
      <c r="H91" s="1266" t="e">
        <f>G91/'Unit Mix'!$D$39</f>
        <v>#DIV/0!</v>
      </c>
      <c r="I91" s="1250"/>
      <c r="J91" s="1288" t="e">
        <f>I91/'Unit Mix'!$D$39</f>
        <v>#DIV/0!</v>
      </c>
      <c r="K91" s="567"/>
      <c r="L91" s="1266" t="e">
        <f>K91/'Unit Mix'!$D$39</f>
        <v>#DIV/0!</v>
      </c>
      <c r="M91" s="891"/>
      <c r="N91" s="1311" t="e">
        <f>M91/'Unit Mix'!$D$39</f>
        <v>#DIV/0!</v>
      </c>
      <c r="O91" s="891"/>
      <c r="P91" s="1311" t="e">
        <f>O91/'Unit Mix'!$D$39</f>
        <v>#DIV/0!</v>
      </c>
      <c r="Q91" s="567">
        <f t="shared" si="17"/>
        <v>0</v>
      </c>
      <c r="R91" s="1269" t="e">
        <f t="shared" si="16"/>
        <v>#DIV/0!</v>
      </c>
      <c r="S91" s="567">
        <f t="shared" si="18"/>
        <v>0</v>
      </c>
      <c r="T91" s="1361" t="e">
        <f>IF('Input Page'!$F$53="Yes",((O91-K91)/K91),IF('Input Page'!$F$54="Yes",S91/((O91-K91)/K91),""))</f>
        <v>#DIV/0!</v>
      </c>
      <c r="U91" s="1243" t="s">
        <v>644</v>
      </c>
      <c r="V91" s="1"/>
      <c r="W91" s="1"/>
      <c r="X91" s="1"/>
      <c r="Y91" s="1"/>
      <c r="Z91" s="289"/>
      <c r="AA91" s="1"/>
      <c r="AB91" s="1"/>
      <c r="AC91" s="1"/>
      <c r="AD91" s="1"/>
      <c r="AE91" s="289"/>
      <c r="AF91" s="1"/>
      <c r="AG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</row>
    <row r="92" spans="1:62" hidden="1">
      <c r="A92" s="919">
        <v>6543</v>
      </c>
      <c r="B92" s="186" t="s">
        <v>465</v>
      </c>
      <c r="C92" s="567"/>
      <c r="D92" s="1266" t="e">
        <f>C92/'Unit Mix'!$D$39</f>
        <v>#DIV/0!</v>
      </c>
      <c r="E92" s="1250"/>
      <c r="F92" s="1288" t="e">
        <f>E92/'Unit Mix'!$D$39</f>
        <v>#DIV/0!</v>
      </c>
      <c r="G92" s="567"/>
      <c r="H92" s="1266" t="e">
        <f>G92/'Unit Mix'!$D$39</f>
        <v>#DIV/0!</v>
      </c>
      <c r="I92" s="1250"/>
      <c r="J92" s="1288" t="e">
        <f>I92/'Unit Mix'!$D$39</f>
        <v>#DIV/0!</v>
      </c>
      <c r="K92" s="567"/>
      <c r="L92" s="1266" t="e">
        <f>K92/'Unit Mix'!$D$39</f>
        <v>#DIV/0!</v>
      </c>
      <c r="M92" s="891"/>
      <c r="N92" s="1311" t="e">
        <f>M92/'Unit Mix'!$D$39</f>
        <v>#DIV/0!</v>
      </c>
      <c r="O92" s="891"/>
      <c r="P92" s="1311" t="e">
        <f>O92/'Unit Mix'!$D$39</f>
        <v>#DIV/0!</v>
      </c>
      <c r="Q92" s="567">
        <f t="shared" si="17"/>
        <v>0</v>
      </c>
      <c r="R92" s="1269" t="e">
        <f t="shared" si="16"/>
        <v>#DIV/0!</v>
      </c>
      <c r="S92" s="567">
        <f t="shared" si="18"/>
        <v>0</v>
      </c>
      <c r="T92" s="1361" t="e">
        <f>IF('Input Page'!$F$53="Yes",((O92-K92)/K92),IF('Input Page'!$F$54="Yes",S92/((O92-K92)/K92),""))</f>
        <v>#DIV/0!</v>
      </c>
      <c r="U92" s="1243"/>
      <c r="V92" s="1"/>
      <c r="W92" s="1"/>
      <c r="X92" s="1"/>
      <c r="Y92" s="1"/>
      <c r="Z92" s="289"/>
      <c r="AA92" s="1"/>
      <c r="AB92" s="1"/>
      <c r="AC92" s="1"/>
      <c r="AD92" s="1"/>
      <c r="AE92" s="289"/>
      <c r="AF92" s="1"/>
      <c r="AG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</row>
    <row r="93" spans="1:62" hidden="1">
      <c r="A93" s="919">
        <v>6545</v>
      </c>
      <c r="B93" s="186" t="s">
        <v>466</v>
      </c>
      <c r="C93" s="567"/>
      <c r="D93" s="1266" t="e">
        <f>C93/'Unit Mix'!$D$39</f>
        <v>#DIV/0!</v>
      </c>
      <c r="E93" s="1250"/>
      <c r="F93" s="1288" t="e">
        <f>E93/'Unit Mix'!$D$39</f>
        <v>#DIV/0!</v>
      </c>
      <c r="G93" s="567"/>
      <c r="H93" s="1266" t="e">
        <f>G93/'Unit Mix'!$D$39</f>
        <v>#DIV/0!</v>
      </c>
      <c r="I93" s="1250"/>
      <c r="J93" s="1288" t="e">
        <f>I93/'Unit Mix'!$D$39</f>
        <v>#DIV/0!</v>
      </c>
      <c r="K93" s="567"/>
      <c r="L93" s="1266" t="e">
        <f>K93/'Unit Mix'!$D$39</f>
        <v>#DIV/0!</v>
      </c>
      <c r="M93" s="891"/>
      <c r="N93" s="1311" t="e">
        <f>M93/'Unit Mix'!$D$39</f>
        <v>#DIV/0!</v>
      </c>
      <c r="O93" s="891"/>
      <c r="P93" s="1311" t="e">
        <f>O93/'Unit Mix'!$D$39</f>
        <v>#DIV/0!</v>
      </c>
      <c r="Q93" s="567">
        <f t="shared" si="17"/>
        <v>0</v>
      </c>
      <c r="R93" s="1269" t="e">
        <f t="shared" si="16"/>
        <v>#DIV/0!</v>
      </c>
      <c r="S93" s="567">
        <f t="shared" si="18"/>
        <v>0</v>
      </c>
      <c r="T93" s="1361" t="e">
        <f>IF('Input Page'!$F$53="Yes",((O93-K93)/K93),IF('Input Page'!$F$54="Yes",S93/((O93-K93)/K93),""))</f>
        <v>#DIV/0!</v>
      </c>
      <c r="U93" s="1243"/>
      <c r="V93" s="1"/>
      <c r="W93" s="1"/>
      <c r="X93" s="1"/>
      <c r="Y93" s="1"/>
      <c r="Z93" s="289"/>
      <c r="AA93" s="1"/>
      <c r="AB93" s="1"/>
      <c r="AC93" s="1"/>
      <c r="AD93" s="1"/>
      <c r="AE93" s="289"/>
      <c r="AF93" s="1"/>
      <c r="AG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</row>
    <row r="94" spans="1:62">
      <c r="A94" s="919">
        <v>6546</v>
      </c>
      <c r="B94" s="186" t="s">
        <v>467</v>
      </c>
      <c r="C94" s="567"/>
      <c r="D94" s="1266" t="e">
        <f>C94/'Unit Mix'!$D$39</f>
        <v>#DIV/0!</v>
      </c>
      <c r="E94" s="1250"/>
      <c r="F94" s="1288" t="e">
        <f>E94/'Unit Mix'!$D$39</f>
        <v>#DIV/0!</v>
      </c>
      <c r="G94" s="567"/>
      <c r="H94" s="1266" t="e">
        <f>G94/'Unit Mix'!$D$39</f>
        <v>#DIV/0!</v>
      </c>
      <c r="I94" s="1250"/>
      <c r="J94" s="1288" t="e">
        <f>I94/'Unit Mix'!$D$39</f>
        <v>#DIV/0!</v>
      </c>
      <c r="K94" s="567"/>
      <c r="L94" s="1266" t="e">
        <f>K94/'Unit Mix'!$D$39</f>
        <v>#DIV/0!</v>
      </c>
      <c r="M94" s="891"/>
      <c r="N94" s="1311" t="e">
        <f>M94/'Unit Mix'!$D$39</f>
        <v>#DIV/0!</v>
      </c>
      <c r="O94" s="891"/>
      <c r="P94" s="1311" t="e">
        <f>O94/'Unit Mix'!$D$39</f>
        <v>#DIV/0!</v>
      </c>
      <c r="Q94" s="567">
        <f t="shared" si="17"/>
        <v>0</v>
      </c>
      <c r="R94" s="1269" t="e">
        <f t="shared" si="16"/>
        <v>#DIV/0!</v>
      </c>
      <c r="S94" s="567">
        <f t="shared" si="18"/>
        <v>0</v>
      </c>
      <c r="T94" s="1361" t="e">
        <f>IF('Input Page'!$F$53="Yes",((O94-K94)/K94),IF('Input Page'!$F$54="Yes",S94/((O94-K94)/K94),""))</f>
        <v>#DIV/0!</v>
      </c>
      <c r="U94" s="1243" t="s">
        <v>645</v>
      </c>
      <c r="V94" s="1"/>
      <c r="W94" s="1"/>
      <c r="X94" s="1"/>
      <c r="Y94" s="1"/>
      <c r="Z94" s="289"/>
      <c r="AA94" s="1"/>
      <c r="AB94" s="1"/>
      <c r="AC94" s="1"/>
      <c r="AD94" s="1"/>
      <c r="AE94" s="289"/>
      <c r="AF94" s="1"/>
      <c r="AG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</row>
    <row r="95" spans="1:62" hidden="1">
      <c r="A95" s="919">
        <v>6547</v>
      </c>
      <c r="B95" s="186" t="s">
        <v>468</v>
      </c>
      <c r="C95" s="567"/>
      <c r="D95" s="1266" t="e">
        <f>C95/'Unit Mix'!$D$39</f>
        <v>#DIV/0!</v>
      </c>
      <c r="E95" s="1250"/>
      <c r="F95" s="1288" t="e">
        <f>E95/'Unit Mix'!$D$39</f>
        <v>#DIV/0!</v>
      </c>
      <c r="G95" s="567"/>
      <c r="H95" s="1266" t="e">
        <f>G95/'Unit Mix'!$D$39</f>
        <v>#DIV/0!</v>
      </c>
      <c r="I95" s="1250"/>
      <c r="J95" s="1288" t="e">
        <f>I95/'Unit Mix'!$D$39</f>
        <v>#DIV/0!</v>
      </c>
      <c r="K95" s="567"/>
      <c r="L95" s="1266" t="e">
        <f>K95/'Unit Mix'!$D$39</f>
        <v>#DIV/0!</v>
      </c>
      <c r="M95" s="891"/>
      <c r="N95" s="1311" t="e">
        <f>M95/'Unit Mix'!$D$39</f>
        <v>#DIV/0!</v>
      </c>
      <c r="O95" s="891"/>
      <c r="P95" s="1311" t="e">
        <f>O95/'Unit Mix'!$D$39</f>
        <v>#DIV/0!</v>
      </c>
      <c r="Q95" s="567">
        <f t="shared" si="17"/>
        <v>0</v>
      </c>
      <c r="R95" s="1269" t="e">
        <f t="shared" si="16"/>
        <v>#DIV/0!</v>
      </c>
      <c r="S95" s="567">
        <f t="shared" si="18"/>
        <v>0</v>
      </c>
      <c r="T95" s="1361" t="e">
        <f>IF('Input Page'!$F$53="Yes",((O95-K95)/K95),IF('Input Page'!$F$54="Yes",S95/((O95-K95)/K95),""))</f>
        <v>#DIV/0!</v>
      </c>
      <c r="U95" s="1243" t="s">
        <v>633</v>
      </c>
      <c r="V95" s="1"/>
      <c r="W95" s="1"/>
      <c r="X95" s="1"/>
      <c r="Y95" s="1"/>
      <c r="Z95" s="289"/>
      <c r="AA95" s="1"/>
      <c r="AB95" s="1"/>
      <c r="AC95" s="1"/>
      <c r="AD95" s="1"/>
      <c r="AE95" s="289"/>
      <c r="AF95" s="1"/>
      <c r="AG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</row>
    <row r="96" spans="1:62" hidden="1">
      <c r="A96" s="919">
        <v>6548</v>
      </c>
      <c r="B96" s="186" t="s">
        <v>469</v>
      </c>
      <c r="C96" s="567"/>
      <c r="D96" s="1266" t="e">
        <f>C96/'Unit Mix'!$D$39</f>
        <v>#DIV/0!</v>
      </c>
      <c r="E96" s="1250"/>
      <c r="F96" s="1288" t="e">
        <f>E96/'Unit Mix'!$D$39</f>
        <v>#DIV/0!</v>
      </c>
      <c r="G96" s="567"/>
      <c r="H96" s="1266" t="e">
        <f>G96/'Unit Mix'!$D$39</f>
        <v>#DIV/0!</v>
      </c>
      <c r="I96" s="1250"/>
      <c r="J96" s="1288" t="e">
        <f>I96/'Unit Mix'!$D$39</f>
        <v>#DIV/0!</v>
      </c>
      <c r="K96" s="567"/>
      <c r="L96" s="1266" t="e">
        <f>K96/'Unit Mix'!$D$39</f>
        <v>#DIV/0!</v>
      </c>
      <c r="M96" s="891"/>
      <c r="N96" s="1311" t="e">
        <f>M96/'Unit Mix'!$D$39</f>
        <v>#DIV/0!</v>
      </c>
      <c r="O96" s="891"/>
      <c r="P96" s="1311" t="e">
        <f>O96/'Unit Mix'!$D$39</f>
        <v>#DIV/0!</v>
      </c>
      <c r="Q96" s="567">
        <f t="shared" si="17"/>
        <v>0</v>
      </c>
      <c r="R96" s="1269" t="e">
        <f t="shared" si="16"/>
        <v>#DIV/0!</v>
      </c>
      <c r="S96" s="567">
        <f t="shared" si="18"/>
        <v>0</v>
      </c>
      <c r="T96" s="1361" t="e">
        <f>IF('Input Page'!$F$53="Yes",((O96-K96)/K96),IF('Input Page'!$F$54="Yes",S96/((O96-K96)/K96),""))</f>
        <v>#DIV/0!</v>
      </c>
      <c r="U96" s="1243" t="s">
        <v>633</v>
      </c>
      <c r="V96" s="1"/>
      <c r="W96" s="1"/>
      <c r="X96" s="1"/>
      <c r="Y96" s="1"/>
      <c r="Z96" s="289"/>
      <c r="AA96" s="1"/>
      <c r="AB96" s="1"/>
      <c r="AC96" s="1"/>
      <c r="AD96" s="1"/>
      <c r="AE96" s="289"/>
      <c r="AF96" s="1"/>
      <c r="AG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</row>
    <row r="97" spans="1:62">
      <c r="A97" s="919">
        <v>6560</v>
      </c>
      <c r="B97" s="186" t="s">
        <v>470</v>
      </c>
      <c r="C97" s="567"/>
      <c r="D97" s="1266" t="e">
        <f>C97/'Unit Mix'!$D$39</f>
        <v>#DIV/0!</v>
      </c>
      <c r="E97" s="1250"/>
      <c r="F97" s="1288" t="e">
        <f>E97/'Unit Mix'!$D$39</f>
        <v>#DIV/0!</v>
      </c>
      <c r="G97" s="567"/>
      <c r="H97" s="1266" t="e">
        <f>G97/'Unit Mix'!$D$39</f>
        <v>#DIV/0!</v>
      </c>
      <c r="I97" s="1250"/>
      <c r="J97" s="1288" t="e">
        <f>I97/'Unit Mix'!$D$39</f>
        <v>#DIV/0!</v>
      </c>
      <c r="K97" s="567"/>
      <c r="L97" s="1266" t="e">
        <f>K97/'Unit Mix'!$D$39</f>
        <v>#DIV/0!</v>
      </c>
      <c r="M97" s="891"/>
      <c r="N97" s="1311" t="e">
        <f>M97/'Unit Mix'!$D$39</f>
        <v>#DIV/0!</v>
      </c>
      <c r="O97" s="891"/>
      <c r="P97" s="1311" t="e">
        <f>O97/'Unit Mix'!$D$39</f>
        <v>#DIV/0!</v>
      </c>
      <c r="Q97" s="567">
        <f t="shared" si="17"/>
        <v>0</v>
      </c>
      <c r="R97" s="1269" t="e">
        <f t="shared" si="16"/>
        <v>#DIV/0!</v>
      </c>
      <c r="S97" s="567">
        <f t="shared" si="18"/>
        <v>0</v>
      </c>
      <c r="T97" s="1361" t="e">
        <f>IF('Input Page'!$F$53="Yes",((O97-K97)/K97),IF('Input Page'!$F$54="Yes",S97/((O97-K97)/K97),""))</f>
        <v>#DIV/0!</v>
      </c>
      <c r="U97" s="1243" t="s">
        <v>633</v>
      </c>
      <c r="V97" s="1"/>
      <c r="W97" s="1"/>
      <c r="X97" s="1"/>
      <c r="Y97" s="1"/>
      <c r="Z97" s="289"/>
      <c r="AA97" s="1"/>
      <c r="AB97" s="1"/>
      <c r="AC97" s="1"/>
      <c r="AD97" s="1"/>
      <c r="AE97" s="289"/>
      <c r="AF97" s="1"/>
      <c r="AG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</row>
    <row r="98" spans="1:62">
      <c r="A98" s="919">
        <v>6561</v>
      </c>
      <c r="B98" s="186" t="s">
        <v>471</v>
      </c>
      <c r="C98" s="567"/>
      <c r="D98" s="1266" t="e">
        <f>C98/'Unit Mix'!$D$39</f>
        <v>#DIV/0!</v>
      </c>
      <c r="E98" s="1250"/>
      <c r="F98" s="1288" t="e">
        <f>E98/'Unit Mix'!$D$39</f>
        <v>#DIV/0!</v>
      </c>
      <c r="G98" s="567"/>
      <c r="H98" s="1266" t="e">
        <f>G98/'Unit Mix'!$D$39</f>
        <v>#DIV/0!</v>
      </c>
      <c r="I98" s="1250"/>
      <c r="J98" s="1288" t="e">
        <f>I98/'Unit Mix'!$D$39</f>
        <v>#DIV/0!</v>
      </c>
      <c r="K98" s="567"/>
      <c r="L98" s="1266" t="e">
        <f>K98/'Unit Mix'!$D$39</f>
        <v>#DIV/0!</v>
      </c>
      <c r="M98" s="891"/>
      <c r="N98" s="1311" t="e">
        <f>M98/'Unit Mix'!$D$39</f>
        <v>#DIV/0!</v>
      </c>
      <c r="O98" s="891"/>
      <c r="P98" s="1311" t="e">
        <f>O98/'Unit Mix'!$D$39</f>
        <v>#DIV/0!</v>
      </c>
      <c r="Q98" s="567">
        <f t="shared" si="17"/>
        <v>0</v>
      </c>
      <c r="R98" s="1269" t="e">
        <f t="shared" si="16"/>
        <v>#DIV/0!</v>
      </c>
      <c r="S98" s="567">
        <f t="shared" si="18"/>
        <v>0</v>
      </c>
      <c r="T98" s="1361" t="e">
        <f>IF('Input Page'!$F$53="Yes",((O98-K98)/K98),IF('Input Page'!$F$54="Yes",S98/((O98-K98)/K98),""))</f>
        <v>#DIV/0!</v>
      </c>
      <c r="U98" s="1243" t="s">
        <v>633</v>
      </c>
      <c r="V98" s="1"/>
      <c r="W98" s="1"/>
      <c r="X98" s="1"/>
      <c r="Y98" s="1"/>
      <c r="Z98" s="289"/>
      <c r="AA98" s="1"/>
      <c r="AB98" s="1"/>
      <c r="AC98" s="1"/>
      <c r="AD98" s="1"/>
      <c r="AE98" s="289"/>
      <c r="AF98" s="1"/>
      <c r="AG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</row>
    <row r="99" spans="1:62">
      <c r="A99" s="919">
        <v>6570</v>
      </c>
      <c r="B99" s="186" t="s">
        <v>472</v>
      </c>
      <c r="C99" s="567"/>
      <c r="D99" s="1266" t="e">
        <f>C99/'Unit Mix'!$D$39</f>
        <v>#DIV/0!</v>
      </c>
      <c r="E99" s="1250"/>
      <c r="F99" s="1288" t="e">
        <f>E99/'Unit Mix'!$D$39</f>
        <v>#DIV/0!</v>
      </c>
      <c r="G99" s="567"/>
      <c r="H99" s="1266" t="e">
        <f>G99/'Unit Mix'!$D$39</f>
        <v>#DIV/0!</v>
      </c>
      <c r="I99" s="1250"/>
      <c r="J99" s="1288" t="e">
        <f>I99/'Unit Mix'!$D$39</f>
        <v>#DIV/0!</v>
      </c>
      <c r="K99" s="567"/>
      <c r="L99" s="1266" t="e">
        <f>K99/'Unit Mix'!$D$39</f>
        <v>#DIV/0!</v>
      </c>
      <c r="M99" s="891"/>
      <c r="N99" s="1311" t="e">
        <f>M99/'Unit Mix'!$D$39</f>
        <v>#DIV/0!</v>
      </c>
      <c r="O99" s="891"/>
      <c r="P99" s="1311" t="e">
        <f>O99/'Unit Mix'!$D$39</f>
        <v>#DIV/0!</v>
      </c>
      <c r="Q99" s="567">
        <f t="shared" si="17"/>
        <v>0</v>
      </c>
      <c r="R99" s="1269" t="e">
        <f t="shared" si="16"/>
        <v>#DIV/0!</v>
      </c>
      <c r="S99" s="567">
        <f t="shared" si="18"/>
        <v>0</v>
      </c>
      <c r="T99" s="1361" t="e">
        <f>IF('Input Page'!$F$53="Yes",((O99-K99)/K99),IF('Input Page'!$F$54="Yes",S99/((O99-K99)/K99),""))</f>
        <v>#DIV/0!</v>
      </c>
      <c r="U99" s="1243"/>
      <c r="V99" s="1"/>
      <c r="W99" s="1"/>
      <c r="X99" s="1"/>
      <c r="Y99" s="1"/>
      <c r="Z99" s="289"/>
      <c r="AA99" s="1"/>
      <c r="AB99" s="1"/>
      <c r="AC99" s="1"/>
      <c r="AD99" s="1"/>
      <c r="AE99" s="289"/>
      <c r="AF99" s="1"/>
      <c r="AG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</row>
    <row r="100" spans="1:62" hidden="1">
      <c r="A100" s="919">
        <v>6590</v>
      </c>
      <c r="B100" s="186" t="s">
        <v>473</v>
      </c>
      <c r="C100" s="635"/>
      <c r="D100" s="1267" t="e">
        <f>C100/'Unit Mix'!$D$39</f>
        <v>#DIV/0!</v>
      </c>
      <c r="E100" s="1251"/>
      <c r="F100" s="1289" t="e">
        <f>E100/'Unit Mix'!$D$39</f>
        <v>#DIV/0!</v>
      </c>
      <c r="G100" s="635"/>
      <c r="H100" s="1267" t="e">
        <f>G100/'Unit Mix'!$D$39</f>
        <v>#DIV/0!</v>
      </c>
      <c r="I100" s="1251"/>
      <c r="J100" s="1289" t="e">
        <f>I100/'Unit Mix'!$D$39</f>
        <v>#DIV/0!</v>
      </c>
      <c r="K100" s="635"/>
      <c r="L100" s="1267" t="e">
        <f>K100/'Unit Mix'!$D$39</f>
        <v>#DIV/0!</v>
      </c>
      <c r="M100" s="892"/>
      <c r="N100" s="1312" t="e">
        <f>M100/'Unit Mix'!$D$39</f>
        <v>#DIV/0!</v>
      </c>
      <c r="O100" s="892"/>
      <c r="P100" s="1312" t="e">
        <f>O100/'Unit Mix'!$D$39</f>
        <v>#DIV/0!</v>
      </c>
      <c r="Q100" s="635">
        <f t="shared" si="17"/>
        <v>0</v>
      </c>
      <c r="R100" s="1270" t="e">
        <f t="shared" si="16"/>
        <v>#DIV/0!</v>
      </c>
      <c r="S100" s="635">
        <f t="shared" si="18"/>
        <v>0</v>
      </c>
      <c r="T100" s="1314" t="e">
        <f>IF('Input Page'!$F$53="Yes",((O100-K100)/K100),IF('Input Page'!$F$54="Yes",S100/((O100-K100)/K100),""))</f>
        <v>#DIV/0!</v>
      </c>
      <c r="U100" s="1243" t="s">
        <v>633</v>
      </c>
      <c r="V100" s="1"/>
      <c r="W100" s="1"/>
      <c r="X100" s="1"/>
      <c r="Y100" s="1"/>
      <c r="Z100" s="289"/>
      <c r="AA100" s="1"/>
      <c r="AB100" s="1"/>
      <c r="AC100" s="1"/>
      <c r="AD100" s="1"/>
      <c r="AE100" s="289"/>
      <c r="AF100" s="1"/>
      <c r="AG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</row>
    <row r="101" spans="1:62">
      <c r="A101" s="919"/>
      <c r="B101" s="175"/>
      <c r="C101" s="567">
        <f>SUM(C78:C100)</f>
        <v>0</v>
      </c>
      <c r="D101" s="1266" t="e">
        <f>C101/'Unit Mix'!$D$39</f>
        <v>#DIV/0!</v>
      </c>
      <c r="E101" s="1564">
        <f>SUM(E78:E100)</f>
        <v>0</v>
      </c>
      <c r="F101" s="1565" t="e">
        <f>E101/'Unit Mix'!$D$39</f>
        <v>#DIV/0!</v>
      </c>
      <c r="G101" s="1566">
        <f>SUM(G78:G100)</f>
        <v>0</v>
      </c>
      <c r="H101" s="1567" t="e">
        <f>G101/'Unit Mix'!$D$39</f>
        <v>#DIV/0!</v>
      </c>
      <c r="I101" s="1564">
        <f>SUM(I78:I100)</f>
        <v>0</v>
      </c>
      <c r="J101" s="1565" t="e">
        <f>I101/'Unit Mix'!$D$39</f>
        <v>#DIV/0!</v>
      </c>
      <c r="K101" s="1566">
        <f>SUM(K78:K100)</f>
        <v>0</v>
      </c>
      <c r="L101" s="1567" t="e">
        <f>K101/'Unit Mix'!$D$39</f>
        <v>#DIV/0!</v>
      </c>
      <c r="M101" s="1568">
        <f>SUM(M78:M100)</f>
        <v>30000</v>
      </c>
      <c r="N101" s="1569" t="e">
        <f>M101/'Unit Mix'!$D$39</f>
        <v>#DIV/0!</v>
      </c>
      <c r="O101" s="1568">
        <f>SUM(O78:O100)</f>
        <v>30000</v>
      </c>
      <c r="P101" s="1569" t="e">
        <f>O101/'Unit Mix'!$D$39</f>
        <v>#DIV/0!</v>
      </c>
      <c r="Q101" s="567">
        <f t="shared" si="17"/>
        <v>30000</v>
      </c>
      <c r="R101" s="1269" t="e">
        <f t="shared" si="16"/>
        <v>#DIV/0!</v>
      </c>
      <c r="S101" s="567">
        <f t="shared" si="18"/>
        <v>30000</v>
      </c>
      <c r="T101" s="1361" t="e">
        <f>IF('Input Page'!$F$53="Yes",((O101-K101)/K101),IF('Input Page'!$F$54="Yes",S101/((O101-K101)/K101),""))</f>
        <v>#DIV/0!</v>
      </c>
      <c r="U101" s="1243"/>
      <c r="V101" s="1"/>
      <c r="W101" s="1"/>
      <c r="X101" s="1"/>
      <c r="Y101" s="1"/>
      <c r="Z101" s="289"/>
      <c r="AA101" s="1"/>
      <c r="AB101" s="1"/>
      <c r="AC101" s="1"/>
      <c r="AD101" s="1"/>
      <c r="AE101" s="289"/>
      <c r="AF101" s="1"/>
      <c r="AG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</row>
    <row r="102" spans="1:62">
      <c r="A102" s="919"/>
      <c r="B102" s="175"/>
      <c r="C102" s="567"/>
      <c r="D102" s="1266"/>
      <c r="E102" s="1250"/>
      <c r="F102" s="1288"/>
      <c r="G102" s="567"/>
      <c r="H102" s="1266"/>
      <c r="I102" s="1250"/>
      <c r="J102" s="1288"/>
      <c r="K102" s="567"/>
      <c r="L102" s="1266"/>
      <c r="M102" s="891"/>
      <c r="N102" s="1311"/>
      <c r="O102" s="891"/>
      <c r="P102" s="1311"/>
      <c r="Q102" s="567"/>
      <c r="R102" s="1269"/>
      <c r="S102" s="567"/>
      <c r="T102" s="1361"/>
      <c r="U102" s="1243"/>
      <c r="V102" s="1"/>
      <c r="W102" s="1"/>
      <c r="X102" s="1"/>
      <c r="Y102" s="1"/>
      <c r="Z102" s="289"/>
      <c r="AA102" s="1"/>
      <c r="AB102" s="1"/>
      <c r="AC102" s="1"/>
      <c r="AD102" s="1"/>
      <c r="AE102" s="289"/>
      <c r="AF102" s="1"/>
      <c r="AG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</row>
    <row r="103" spans="1:62">
      <c r="A103" s="919"/>
      <c r="B103" s="175"/>
      <c r="C103" s="176"/>
      <c r="D103" s="1268"/>
      <c r="E103" s="1252"/>
      <c r="F103" s="1290"/>
      <c r="G103" s="176"/>
      <c r="H103" s="1268"/>
      <c r="I103" s="1252"/>
      <c r="J103" s="1290"/>
      <c r="K103" s="175"/>
      <c r="L103" s="1268"/>
      <c r="M103" s="182"/>
      <c r="N103" s="1313"/>
      <c r="O103" s="192"/>
      <c r="P103" s="369"/>
      <c r="Q103" s="175"/>
      <c r="R103" s="1346"/>
      <c r="S103" s="175"/>
      <c r="T103" s="1362"/>
      <c r="U103" s="1243"/>
      <c r="V103" s="1"/>
      <c r="W103" s="1"/>
      <c r="X103" s="1"/>
      <c r="Y103" s="1"/>
      <c r="Z103" s="289"/>
      <c r="AA103" s="1"/>
      <c r="AB103" s="1"/>
      <c r="AC103" s="1"/>
      <c r="AD103" s="1"/>
      <c r="AE103" s="289"/>
      <c r="AF103" s="1"/>
      <c r="AG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</row>
    <row r="104" spans="1:62" ht="16.5" thickBot="1">
      <c r="A104" s="919"/>
      <c r="B104" s="181" t="s">
        <v>474</v>
      </c>
      <c r="C104" s="176"/>
      <c r="D104" s="1268"/>
      <c r="E104" s="1252"/>
      <c r="F104" s="1290"/>
      <c r="G104" s="176"/>
      <c r="H104" s="1268"/>
      <c r="I104" s="1252"/>
      <c r="J104" s="1290"/>
      <c r="K104" s="175"/>
      <c r="L104" s="1268"/>
      <c r="M104" s="182"/>
      <c r="N104" s="1313"/>
      <c r="O104" s="182"/>
      <c r="P104" s="1332"/>
      <c r="Q104" s="175"/>
      <c r="R104" s="1346"/>
      <c r="S104" s="175"/>
      <c r="T104" s="1362"/>
      <c r="U104" s="1243"/>
      <c r="V104" s="1"/>
      <c r="W104" s="1"/>
      <c r="X104" s="1"/>
      <c r="Y104" s="1"/>
      <c r="Z104" s="289"/>
      <c r="AA104" s="1"/>
      <c r="AB104" s="1"/>
      <c r="AC104" s="1"/>
      <c r="AD104" s="1"/>
      <c r="AE104" s="289"/>
      <c r="AF104" s="1"/>
      <c r="AG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</row>
    <row r="105" spans="1:62" ht="16.5" thickBot="1">
      <c r="A105" s="919">
        <v>6710</v>
      </c>
      <c r="B105" s="186" t="s">
        <v>475</v>
      </c>
      <c r="C105" s="567"/>
      <c r="D105" s="1266" t="e">
        <f>C105/'Unit Mix'!$D$39</f>
        <v>#DIV/0!</v>
      </c>
      <c r="E105" s="1250"/>
      <c r="F105" s="1288" t="e">
        <f>E105/'Unit Mix'!$D$39</f>
        <v>#DIV/0!</v>
      </c>
      <c r="G105" s="567"/>
      <c r="H105" s="1266" t="e">
        <f>G105/'Unit Mix'!$D$39</f>
        <v>#DIV/0!</v>
      </c>
      <c r="I105" s="1250"/>
      <c r="J105" s="1288" t="e">
        <f>I105/'Unit Mix'!$D$39</f>
        <v>#DIV/0!</v>
      </c>
      <c r="K105" s="567"/>
      <c r="L105" s="1266" t="e">
        <f>K105/'Unit Mix'!$D$39</f>
        <v>#DIV/0!</v>
      </c>
      <c r="M105" s="891">
        <f>I105*1.03</f>
        <v>0</v>
      </c>
      <c r="N105" s="1311" t="e">
        <f>M105/'Unit Mix'!$D$39</f>
        <v>#DIV/0!</v>
      </c>
      <c r="O105" s="891">
        <f>M105*1.03</f>
        <v>0</v>
      </c>
      <c r="P105" s="1311" t="e">
        <f>O105/'Unit Mix'!$D$39</f>
        <v>#DIV/0!</v>
      </c>
      <c r="Q105" s="567">
        <f t="shared" si="17"/>
        <v>0</v>
      </c>
      <c r="R105" s="1269" t="e">
        <f t="shared" ref="R105:R113" si="19">(M105-K105)/K105</f>
        <v>#DIV/0!</v>
      </c>
      <c r="S105" s="567">
        <f t="shared" si="18"/>
        <v>0</v>
      </c>
      <c r="T105" s="1361" t="e">
        <f>IF('Input Page'!$F$53="Yes",((O105-K105)/K105),IF('Input Page'!$F$54="Yes",S105/((O105-K105)/K105),""))</f>
        <v>#DIV/0!</v>
      </c>
      <c r="U105" s="1243" t="s">
        <v>646</v>
      </c>
      <c r="V105" s="1641" t="s">
        <v>647</v>
      </c>
      <c r="W105" s="1642"/>
      <c r="X105" s="1642"/>
      <c r="Y105" s="1642"/>
      <c r="Z105" s="1642"/>
      <c r="AA105" s="1642"/>
      <c r="AB105" s="1642"/>
      <c r="AC105" s="1642"/>
      <c r="AD105" s="1642"/>
      <c r="AE105" s="1642"/>
      <c r="AF105" s="1643"/>
      <c r="AG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</row>
    <row r="106" spans="1:62">
      <c r="A106" s="919">
        <v>6711</v>
      </c>
      <c r="B106" s="186" t="s">
        <v>476</v>
      </c>
      <c r="C106" s="567"/>
      <c r="D106" s="1266" t="e">
        <f>C106/'Unit Mix'!$D$39</f>
        <v>#DIV/0!</v>
      </c>
      <c r="E106" s="1250"/>
      <c r="F106" s="1288" t="e">
        <f>E106/'Unit Mix'!$D$39</f>
        <v>#DIV/0!</v>
      </c>
      <c r="G106" s="567"/>
      <c r="H106" s="1266" t="e">
        <f>G106/'Unit Mix'!$D$39</f>
        <v>#DIV/0!</v>
      </c>
      <c r="I106" s="1250"/>
      <c r="J106" s="1288" t="e">
        <f>I106/'Unit Mix'!$D$39</f>
        <v>#DIV/0!</v>
      </c>
      <c r="K106" s="567"/>
      <c r="L106" s="1266" t="e">
        <f>K106/'Unit Mix'!$D$39</f>
        <v>#DIV/0!</v>
      </c>
      <c r="M106" s="891">
        <f>0.0765*(M89+M78+M55+M49)</f>
        <v>2295</v>
      </c>
      <c r="N106" s="1311" t="e">
        <f>M106/'Unit Mix'!$D$39</f>
        <v>#DIV/0!</v>
      </c>
      <c r="O106" s="891">
        <f>0.0765*(O89+O78+O55+O49)</f>
        <v>2295</v>
      </c>
      <c r="P106" s="1311" t="e">
        <f>O106/'Unit Mix'!$D$39</f>
        <v>#DIV/0!</v>
      </c>
      <c r="Q106" s="567">
        <f t="shared" si="17"/>
        <v>2295</v>
      </c>
      <c r="R106" s="1269" t="e">
        <f t="shared" si="19"/>
        <v>#DIV/0!</v>
      </c>
      <c r="S106" s="567">
        <f t="shared" si="18"/>
        <v>2295</v>
      </c>
      <c r="T106" s="1361" t="e">
        <f>IF('Input Page'!$F$53="Yes",((O106-K106)/K106),IF('Input Page'!$F$54="Yes",S106/((O106-K106)/K106),""))</f>
        <v>#DIV/0!</v>
      </c>
      <c r="U106" s="1243" t="s">
        <v>634</v>
      </c>
      <c r="V106" s="354"/>
      <c r="W106" s="1"/>
      <c r="X106" s="1"/>
      <c r="Y106" s="1"/>
      <c r="Z106" s="51"/>
      <c r="AA106" s="1"/>
      <c r="AB106" s="1"/>
      <c r="AC106" s="1"/>
      <c r="AD106" s="1"/>
      <c r="AE106" s="51"/>
      <c r="AF106" s="1234"/>
      <c r="AG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</row>
    <row r="107" spans="1:62" hidden="1">
      <c r="A107" s="919">
        <v>6719</v>
      </c>
      <c r="B107" s="186" t="s">
        <v>477</v>
      </c>
      <c r="C107" s="567"/>
      <c r="D107" s="1266" t="e">
        <f>C107/'Unit Mix'!$D$39</f>
        <v>#DIV/0!</v>
      </c>
      <c r="E107" s="1250"/>
      <c r="F107" s="1288" t="e">
        <f>E107/'Unit Mix'!$D$39</f>
        <v>#DIV/0!</v>
      </c>
      <c r="G107" s="567"/>
      <c r="H107" s="1266" t="e">
        <f>G107/'Unit Mix'!$D$39</f>
        <v>#DIV/0!</v>
      </c>
      <c r="I107" s="1250"/>
      <c r="J107" s="1288" t="e">
        <f>I107/'Unit Mix'!$D$39</f>
        <v>#DIV/0!</v>
      </c>
      <c r="K107" s="567"/>
      <c r="L107" s="1266" t="e">
        <f>K107/'Unit Mix'!$D$39</f>
        <v>#DIV/0!</v>
      </c>
      <c r="M107" s="891"/>
      <c r="N107" s="1311" t="e">
        <f>M107/'Unit Mix'!$D$39</f>
        <v>#DIV/0!</v>
      </c>
      <c r="O107" s="891"/>
      <c r="P107" s="1311" t="e">
        <f>O107/'Unit Mix'!$D$39</f>
        <v>#DIV/0!</v>
      </c>
      <c r="Q107" s="567">
        <f t="shared" si="17"/>
        <v>0</v>
      </c>
      <c r="R107" s="1269" t="e">
        <f t="shared" si="19"/>
        <v>#DIV/0!</v>
      </c>
      <c r="S107" s="567">
        <f t="shared" si="18"/>
        <v>0</v>
      </c>
      <c r="T107" s="1361" t="e">
        <f>IF('Input Page'!$F$53="Yes",((O107-K107)/K107),IF('Input Page'!$F$54="Yes",S107/((O107-K107)/K107),""))</f>
        <v>#DIV/0!</v>
      </c>
      <c r="U107" s="1243"/>
      <c r="V107" s="354"/>
      <c r="W107" s="1"/>
      <c r="X107" s="1"/>
      <c r="Y107" s="1"/>
      <c r="Z107" s="51"/>
      <c r="AA107" s="1"/>
      <c r="AB107" s="1"/>
      <c r="AC107" s="1"/>
      <c r="AD107" s="1"/>
      <c r="AE107" s="51"/>
      <c r="AF107" s="1234"/>
      <c r="AG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</row>
    <row r="108" spans="1:62">
      <c r="A108" s="919">
        <v>6720</v>
      </c>
      <c r="B108" s="186" t="s">
        <v>478</v>
      </c>
      <c r="C108" s="567"/>
      <c r="D108" s="1266" t="e">
        <f>C108/'Unit Mix'!$D$39</f>
        <v>#DIV/0!</v>
      </c>
      <c r="E108" s="1250"/>
      <c r="F108" s="1288" t="e">
        <f>E108/'Unit Mix'!$D$39</f>
        <v>#DIV/0!</v>
      </c>
      <c r="G108" s="567"/>
      <c r="H108" s="1266" t="e">
        <f>G108/'Unit Mix'!$D$39</f>
        <v>#DIV/0!</v>
      </c>
      <c r="I108" s="1250"/>
      <c r="J108" s="1288" t="e">
        <f>I108/'Unit Mix'!$D$39</f>
        <v>#DIV/0!</v>
      </c>
      <c r="K108" s="567"/>
      <c r="L108" s="1266" t="e">
        <f>K108/'Unit Mix'!$D$39</f>
        <v>#DIV/0!</v>
      </c>
      <c r="M108" s="891">
        <f>I108*1.03</f>
        <v>0</v>
      </c>
      <c r="N108" s="1311" t="e">
        <f>M108/'Unit Mix'!$D$39</f>
        <v>#DIV/0!</v>
      </c>
      <c r="O108" s="891">
        <f>M108*1.03</f>
        <v>0</v>
      </c>
      <c r="P108" s="1311" t="e">
        <f>O108/'Unit Mix'!$D$39</f>
        <v>#DIV/0!</v>
      </c>
      <c r="Q108" s="567">
        <f t="shared" si="17"/>
        <v>0</v>
      </c>
      <c r="R108" s="1269" t="e">
        <f t="shared" si="19"/>
        <v>#DIV/0!</v>
      </c>
      <c r="S108" s="567">
        <f t="shared" si="18"/>
        <v>0</v>
      </c>
      <c r="T108" s="1361" t="e">
        <f>IF('Input Page'!$F$53="Yes",((O108-K108)/K108),IF('Input Page'!$F$54="Yes",S108/((O108-K108)/K108),""))</f>
        <v>#DIV/0!</v>
      </c>
      <c r="U108" s="1243" t="s">
        <v>648</v>
      </c>
      <c r="V108" s="354"/>
      <c r="W108" s="1"/>
      <c r="X108" s="1"/>
      <c r="Y108" s="1"/>
      <c r="Z108" s="51"/>
      <c r="AA108" s="1"/>
      <c r="AB108" s="1"/>
      <c r="AC108" s="1"/>
      <c r="AD108" s="1"/>
      <c r="AE108" s="51"/>
      <c r="AF108" s="1234"/>
      <c r="AG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</row>
    <row r="109" spans="1:62" hidden="1">
      <c r="A109" s="919">
        <v>6721</v>
      </c>
      <c r="B109" s="186" t="s">
        <v>479</v>
      </c>
      <c r="C109" s="567"/>
      <c r="D109" s="1266" t="e">
        <f>C109/'Unit Mix'!$D$39</f>
        <v>#DIV/0!</v>
      </c>
      <c r="E109" s="1250"/>
      <c r="F109" s="1288" t="e">
        <f>E109/'Unit Mix'!$D$39</f>
        <v>#DIV/0!</v>
      </c>
      <c r="G109" s="567"/>
      <c r="H109" s="1266" t="e">
        <f>G109/'Unit Mix'!$D$39</f>
        <v>#DIV/0!</v>
      </c>
      <c r="I109" s="1250"/>
      <c r="J109" s="1288" t="e">
        <f>I109/'Unit Mix'!$D$39</f>
        <v>#DIV/0!</v>
      </c>
      <c r="K109" s="567"/>
      <c r="L109" s="1266" t="e">
        <f>K109/'Unit Mix'!$D$39</f>
        <v>#DIV/0!</v>
      </c>
      <c r="M109" s="891"/>
      <c r="N109" s="1311" t="e">
        <f>M109/'Unit Mix'!$D$39</f>
        <v>#DIV/0!</v>
      </c>
      <c r="O109" s="891"/>
      <c r="P109" s="1311" t="e">
        <f>O109/'Unit Mix'!$D$39</f>
        <v>#DIV/0!</v>
      </c>
      <c r="Q109" s="567">
        <f t="shared" si="17"/>
        <v>0</v>
      </c>
      <c r="R109" s="1269" t="e">
        <f t="shared" si="19"/>
        <v>#DIV/0!</v>
      </c>
      <c r="S109" s="567">
        <f t="shared" si="18"/>
        <v>0</v>
      </c>
      <c r="T109" s="1361" t="e">
        <f>IF('Input Page'!$F$53="Yes",((O109-K109)/K109),IF('Input Page'!$F$54="Yes",S109/((O109-K109)/K109),""))</f>
        <v>#DIV/0!</v>
      </c>
      <c r="U109" s="1243"/>
      <c r="V109" s="354"/>
      <c r="W109" s="1"/>
      <c r="X109" s="1"/>
      <c r="Y109" s="1"/>
      <c r="Z109" s="51"/>
      <c r="AA109" s="1"/>
      <c r="AB109" s="1"/>
      <c r="AC109" s="1"/>
      <c r="AD109" s="1"/>
      <c r="AE109" s="51"/>
      <c r="AF109" s="1234"/>
      <c r="AG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</row>
    <row r="110" spans="1:62">
      <c r="A110" s="919">
        <v>6722</v>
      </c>
      <c r="B110" s="186" t="s">
        <v>480</v>
      </c>
      <c r="C110" s="567"/>
      <c r="D110" s="1266" t="e">
        <f>C110/'Unit Mix'!$D$39</f>
        <v>#DIV/0!</v>
      </c>
      <c r="E110" s="1250"/>
      <c r="F110" s="1288" t="e">
        <f>E110/'Unit Mix'!$D$39</f>
        <v>#DIV/0!</v>
      </c>
      <c r="G110" s="567"/>
      <c r="H110" s="1266" t="e">
        <f>G110/'Unit Mix'!$D$39</f>
        <v>#DIV/0!</v>
      </c>
      <c r="I110" s="1250"/>
      <c r="J110" s="1288" t="e">
        <f>I110/'Unit Mix'!$D$39</f>
        <v>#DIV/0!</v>
      </c>
      <c r="K110" s="567"/>
      <c r="L110" s="1266" t="e">
        <f>K110/'Unit Mix'!$D$39</f>
        <v>#DIV/0!</v>
      </c>
      <c r="M110" s="891">
        <f>(0.06*(M89+M78))+(0.025*(M55+M49))</f>
        <v>1800</v>
      </c>
      <c r="N110" s="1311" t="e">
        <f>M110/'Unit Mix'!$D$39</f>
        <v>#DIV/0!</v>
      </c>
      <c r="O110" s="891">
        <f>(0.06*(O89+O78))+(0.025*(O55+O49))</f>
        <v>1800</v>
      </c>
      <c r="P110" s="1311" t="e">
        <f>O110/'Unit Mix'!$D$39</f>
        <v>#DIV/0!</v>
      </c>
      <c r="Q110" s="567">
        <f t="shared" si="17"/>
        <v>1800</v>
      </c>
      <c r="R110" s="1269" t="e">
        <f t="shared" si="19"/>
        <v>#DIV/0!</v>
      </c>
      <c r="S110" s="567">
        <f t="shared" si="18"/>
        <v>1800</v>
      </c>
      <c r="T110" s="1361" t="e">
        <f>IF('Input Page'!$F$53="Yes",((O110-K110)/K110),IF('Input Page'!$F$54="Yes",S110/((O110-K110)/K110),""))</f>
        <v>#DIV/0!</v>
      </c>
      <c r="U110" s="1243" t="s">
        <v>634</v>
      </c>
      <c r="V110" s="354"/>
      <c r="W110" s="1"/>
      <c r="X110" s="1"/>
      <c r="Y110" s="1"/>
      <c r="Z110" s="51"/>
      <c r="AA110" s="1"/>
      <c r="AB110" s="1"/>
      <c r="AC110" s="1"/>
      <c r="AD110" s="1"/>
      <c r="AE110" s="51"/>
      <c r="AF110" s="1234"/>
      <c r="AG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</row>
    <row r="111" spans="1:62">
      <c r="A111" s="919">
        <v>6723</v>
      </c>
      <c r="B111" s="186" t="s">
        <v>481</v>
      </c>
      <c r="C111" s="567"/>
      <c r="D111" s="1266" t="e">
        <f>C111/'Unit Mix'!$D$39</f>
        <v>#DIV/0!</v>
      </c>
      <c r="E111" s="1250"/>
      <c r="F111" s="1288" t="e">
        <f>E111/'Unit Mix'!$D$39</f>
        <v>#DIV/0!</v>
      </c>
      <c r="G111" s="567"/>
      <c r="H111" s="1266" t="e">
        <f>G111/'Unit Mix'!$D$39</f>
        <v>#DIV/0!</v>
      </c>
      <c r="I111" s="1250"/>
      <c r="J111" s="1288" t="e">
        <f>I111/'Unit Mix'!$D$39</f>
        <v>#DIV/0!</v>
      </c>
      <c r="K111" s="567"/>
      <c r="L111" s="1266" t="e">
        <f>K111/'Unit Mix'!$D$39</f>
        <v>#DIV/0!</v>
      </c>
      <c r="M111" s="891">
        <f>I111*1.03</f>
        <v>0</v>
      </c>
      <c r="N111" s="1311" t="e">
        <f>M111/'Unit Mix'!$D$39</f>
        <v>#DIV/0!</v>
      </c>
      <c r="O111" s="891">
        <f>M111*1.03</f>
        <v>0</v>
      </c>
      <c r="P111" s="1311" t="e">
        <f>O111/'Unit Mix'!$D$39</f>
        <v>#DIV/0!</v>
      </c>
      <c r="Q111" s="567">
        <f t="shared" si="17"/>
        <v>0</v>
      </c>
      <c r="R111" s="1269" t="e">
        <f t="shared" si="19"/>
        <v>#DIV/0!</v>
      </c>
      <c r="S111" s="567">
        <f t="shared" si="18"/>
        <v>0</v>
      </c>
      <c r="T111" s="1361" t="e">
        <f>IF('Input Page'!$F$53="Yes",((O111-K111)/K111),IF('Input Page'!$F$54="Yes",S111/((O111-K111)/K111),""))</f>
        <v>#DIV/0!</v>
      </c>
      <c r="U111" s="1243" t="s">
        <v>634</v>
      </c>
      <c r="V111" s="354"/>
      <c r="W111" s="1"/>
      <c r="X111" s="1"/>
      <c r="Y111" s="1"/>
      <c r="Z111" s="51"/>
      <c r="AA111" s="1"/>
      <c r="AB111" s="1"/>
      <c r="AC111" s="1"/>
      <c r="AD111" s="1"/>
      <c r="AE111" s="51"/>
      <c r="AF111" s="1234"/>
      <c r="AG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</row>
    <row r="112" spans="1:62">
      <c r="A112" s="919">
        <v>6729</v>
      </c>
      <c r="B112" s="186" t="s">
        <v>482</v>
      </c>
      <c r="C112" s="635"/>
      <c r="D112" s="1267" t="e">
        <f>C112/'Unit Mix'!$D$39</f>
        <v>#DIV/0!</v>
      </c>
      <c r="E112" s="1251"/>
      <c r="F112" s="1289" t="e">
        <f>E112/'Unit Mix'!$D$39</f>
        <v>#DIV/0!</v>
      </c>
      <c r="G112" s="635"/>
      <c r="H112" s="1267" t="e">
        <f>G112/'Unit Mix'!$D$39</f>
        <v>#DIV/0!</v>
      </c>
      <c r="I112" s="1251"/>
      <c r="J112" s="1289" t="e">
        <f>I112/'Unit Mix'!$D$39</f>
        <v>#DIV/0!</v>
      </c>
      <c r="K112" s="635"/>
      <c r="L112" s="1267" t="e">
        <f>K112/'Unit Mix'!$D$39</f>
        <v>#DIV/0!</v>
      </c>
      <c r="M112" s="892"/>
      <c r="N112" s="1312" t="e">
        <f>M112/'Unit Mix'!$D$39</f>
        <v>#DIV/0!</v>
      </c>
      <c r="O112" s="892"/>
      <c r="P112" s="1312" t="e">
        <f>O112/'Unit Mix'!$D$39</f>
        <v>#DIV/0!</v>
      </c>
      <c r="Q112" s="635">
        <f t="shared" si="17"/>
        <v>0</v>
      </c>
      <c r="R112" s="1270" t="e">
        <f t="shared" si="19"/>
        <v>#DIV/0!</v>
      </c>
      <c r="S112" s="635">
        <f t="shared" si="18"/>
        <v>0</v>
      </c>
      <c r="T112" s="1314" t="e">
        <f>IF('Input Page'!$F$53="Yes",((O112-K112)/K112),IF('Input Page'!$F$54="Yes",S112/((O112-K112)/K112),""))</f>
        <v>#DIV/0!</v>
      </c>
      <c r="U112" s="1243"/>
      <c r="V112" s="354"/>
      <c r="W112" s="1"/>
      <c r="X112" s="1"/>
      <c r="Y112" s="1"/>
      <c r="Z112" s="51"/>
      <c r="AA112" s="1"/>
      <c r="AB112" s="1"/>
      <c r="AC112" s="1"/>
      <c r="AD112" s="1"/>
      <c r="AE112" s="51"/>
      <c r="AF112" s="1234"/>
      <c r="AG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</row>
    <row r="113" spans="1:62">
      <c r="A113" s="183"/>
      <c r="B113" s="175"/>
      <c r="C113" s="567">
        <f>SUM(C105:C112)</f>
        <v>0</v>
      </c>
      <c r="D113" s="1266" t="e">
        <f>C113/'Unit Mix'!$D$39</f>
        <v>#DIV/0!</v>
      </c>
      <c r="E113" s="1564">
        <f>SUM(E105:E112)</f>
        <v>0</v>
      </c>
      <c r="F113" s="1565" t="e">
        <f>E113/'Unit Mix'!$D$39</f>
        <v>#DIV/0!</v>
      </c>
      <c r="G113" s="1566">
        <f>SUM(G105:G112)</f>
        <v>0</v>
      </c>
      <c r="H113" s="1567" t="e">
        <f>G113/'Unit Mix'!$D$39</f>
        <v>#DIV/0!</v>
      </c>
      <c r="I113" s="1564">
        <f>SUM(I105:I112)</f>
        <v>0</v>
      </c>
      <c r="J113" s="1565" t="e">
        <f>I113/'Unit Mix'!$D$39</f>
        <v>#DIV/0!</v>
      </c>
      <c r="K113" s="1566">
        <f>SUM(K105:K112)</f>
        <v>0</v>
      </c>
      <c r="L113" s="1567" t="e">
        <f>K113/'Unit Mix'!$D$39</f>
        <v>#DIV/0!</v>
      </c>
      <c r="M113" s="1568">
        <f>SUM(M105:M112)</f>
        <v>4095</v>
      </c>
      <c r="N113" s="1569" t="e">
        <f>M113/'Unit Mix'!$D$39</f>
        <v>#DIV/0!</v>
      </c>
      <c r="O113" s="1568">
        <f>SUM(O105:O112)</f>
        <v>4095</v>
      </c>
      <c r="P113" s="1569" t="e">
        <f>O113/'Unit Mix'!$D$39</f>
        <v>#DIV/0!</v>
      </c>
      <c r="Q113" s="567">
        <f>M113-K113</f>
        <v>4095</v>
      </c>
      <c r="R113" s="1269" t="e">
        <f t="shared" si="19"/>
        <v>#DIV/0!</v>
      </c>
      <c r="S113" s="567">
        <f t="shared" si="18"/>
        <v>4095</v>
      </c>
      <c r="T113" s="1361" t="e">
        <f>IF('Input Page'!$F$53="Yes",((O113-K113)/K113),IF('Input Page'!$F$54="Yes",S113/((O113-K113)/K113),""))</f>
        <v>#DIV/0!</v>
      </c>
      <c r="U113" s="177"/>
      <c r="V113" s="354"/>
      <c r="W113" s="1"/>
      <c r="X113" s="1"/>
      <c r="Y113" s="1"/>
      <c r="Z113" s="51"/>
      <c r="AA113" s="1"/>
      <c r="AB113" s="1"/>
      <c r="AC113" s="1"/>
      <c r="AD113" s="1"/>
      <c r="AE113" s="51"/>
      <c r="AF113" s="1234"/>
      <c r="AG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</row>
    <row r="114" spans="1:62">
      <c r="A114" s="183"/>
      <c r="B114" s="175"/>
      <c r="C114" s="633"/>
      <c r="D114" s="1274"/>
      <c r="E114" s="1256"/>
      <c r="F114" s="1295"/>
      <c r="G114" s="633"/>
      <c r="H114" s="1274"/>
      <c r="I114" s="1256"/>
      <c r="J114" s="1295"/>
      <c r="K114" s="633"/>
      <c r="L114" s="1274"/>
      <c r="M114" s="891"/>
      <c r="N114" s="1318"/>
      <c r="O114" s="891"/>
      <c r="P114" s="1318"/>
      <c r="Q114" s="567"/>
      <c r="R114" s="1346"/>
      <c r="S114" s="567"/>
      <c r="T114" s="1362"/>
      <c r="U114" s="177"/>
      <c r="V114" s="354"/>
      <c r="W114" s="1"/>
      <c r="X114" s="1"/>
      <c r="Y114" s="1"/>
      <c r="Z114" s="51"/>
      <c r="AA114" s="1"/>
      <c r="AB114" s="1"/>
      <c r="AC114" s="1"/>
      <c r="AD114" s="1"/>
      <c r="AE114" s="51"/>
      <c r="AF114" s="1234"/>
      <c r="AG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</row>
    <row r="115" spans="1:62">
      <c r="A115" s="183"/>
      <c r="B115" s="181" t="s">
        <v>649</v>
      </c>
      <c r="C115" s="773">
        <f>C113+C101+C74+C64</f>
        <v>0</v>
      </c>
      <c r="D115" s="1275" t="e">
        <f>C115/'Unit Mix'!$D$39</f>
        <v>#DIV/0!</v>
      </c>
      <c r="E115" s="1254">
        <f>E113+E101+E74+E64</f>
        <v>0</v>
      </c>
      <c r="F115" s="1296" t="e">
        <f>E115/'Unit Mix'!$D$39</f>
        <v>#DIV/0!</v>
      </c>
      <c r="G115" s="773">
        <f>G113+G101+G74+G64</f>
        <v>0</v>
      </c>
      <c r="H115" s="1275" t="e">
        <f>G115/'Unit Mix'!$D$39</f>
        <v>#DIV/0!</v>
      </c>
      <c r="I115" s="1254">
        <f>I113+I101+I74+I64</f>
        <v>0</v>
      </c>
      <c r="J115" s="1296" t="e">
        <f>I115/'Unit Mix'!$D$39</f>
        <v>#DIV/0!</v>
      </c>
      <c r="K115" s="773">
        <f>K113+K101+K74+K64</f>
        <v>0</v>
      </c>
      <c r="L115" s="1275" t="e">
        <f>K115/'Unit Mix'!$D$39</f>
        <v>#DIV/0!</v>
      </c>
      <c r="M115" s="894">
        <f>M113+M101+M74+M64</f>
        <v>34095</v>
      </c>
      <c r="N115" s="1319" t="e">
        <f>M115/'Unit Mix'!$D$39</f>
        <v>#DIV/0!</v>
      </c>
      <c r="O115" s="894">
        <f>O113+O101+O74+O64</f>
        <v>34095</v>
      </c>
      <c r="P115" s="1319" t="e">
        <f>O115/'Unit Mix'!$D$39</f>
        <v>#DIV/0!</v>
      </c>
      <c r="Q115" s="907">
        <f>M115-K115</f>
        <v>34095</v>
      </c>
      <c r="R115" s="1349" t="e">
        <f>(M115-K115)/K115</f>
        <v>#DIV/0!</v>
      </c>
      <c r="S115" s="907">
        <f t="shared" si="18"/>
        <v>34095</v>
      </c>
      <c r="T115" s="1365" t="e">
        <f>IF('Input Page'!$F$53="Yes",((O115-K115)/K115),IF('Input Page'!$F$54="Yes",S115/((O115-K115)/K115),""))</f>
        <v>#DIV/0!</v>
      </c>
      <c r="U115" s="177"/>
      <c r="V115" s="354"/>
      <c r="W115" s="1"/>
      <c r="X115" s="1"/>
      <c r="Y115" s="1"/>
      <c r="Z115" s="51"/>
      <c r="AA115" s="1"/>
      <c r="AB115" s="1"/>
      <c r="AC115" s="1"/>
      <c r="AD115" s="1"/>
      <c r="AE115" s="51"/>
      <c r="AF115" s="1234"/>
      <c r="AG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</row>
    <row r="116" spans="1:62" ht="18" hidden="1">
      <c r="A116" s="183"/>
      <c r="B116" s="175"/>
      <c r="C116" s="175"/>
      <c r="D116" s="1263"/>
      <c r="E116" s="1249"/>
      <c r="F116" s="1287"/>
      <c r="G116" s="175"/>
      <c r="H116" s="1263"/>
      <c r="I116" s="1249"/>
      <c r="J116" s="1287"/>
      <c r="K116" s="176"/>
      <c r="L116" s="1268"/>
      <c r="M116" s="182"/>
      <c r="N116" s="1310"/>
      <c r="O116" s="182"/>
      <c r="P116" s="1310"/>
      <c r="Q116" s="184">
        <f t="shared" ref="Q116:Q179" si="20">M116-K116</f>
        <v>0</v>
      </c>
      <c r="R116" s="1350" t="e">
        <f t="shared" ref="R116:R179" si="21">Q116/K116</f>
        <v>#DIV/0!</v>
      </c>
      <c r="S116" s="184">
        <f t="shared" ref="S116:S179" si="22">O116-K116</f>
        <v>0</v>
      </c>
      <c r="T116" s="1362" t="e">
        <f>IF('Input Page'!$F$53="Yes",S116/K116,IF('Input Page'!$F$54="Yes",S116/M116,""))</f>
        <v>#DIV/0!</v>
      </c>
      <c r="U116" s="177"/>
      <c r="V116" s="354"/>
      <c r="W116" s="1"/>
      <c r="X116" s="1"/>
      <c r="Y116" s="1"/>
      <c r="Z116" s="51"/>
      <c r="AA116" s="1"/>
      <c r="AB116" s="1"/>
      <c r="AC116" s="1"/>
      <c r="AD116" s="1"/>
      <c r="AE116" s="51"/>
      <c r="AF116" s="1234"/>
      <c r="AG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</row>
    <row r="117" spans="1:62" ht="18" hidden="1">
      <c r="A117" s="183"/>
      <c r="B117" s="181" t="s">
        <v>493</v>
      </c>
      <c r="C117" s="181"/>
      <c r="D117" s="1276"/>
      <c r="E117" s="1257"/>
      <c r="F117" s="1297"/>
      <c r="G117" s="181"/>
      <c r="H117" s="1276"/>
      <c r="I117" s="1257"/>
      <c r="J117" s="1297"/>
      <c r="K117" s="176"/>
      <c r="L117" s="1268"/>
      <c r="M117" s="182"/>
      <c r="N117" s="1310"/>
      <c r="O117" s="182"/>
      <c r="P117" s="1333"/>
      <c r="Q117" s="184">
        <f t="shared" si="20"/>
        <v>0</v>
      </c>
      <c r="R117" s="1350" t="e">
        <f t="shared" si="21"/>
        <v>#DIV/0!</v>
      </c>
      <c r="S117" s="184">
        <f t="shared" si="22"/>
        <v>0</v>
      </c>
      <c r="T117" s="1362" t="e">
        <f>IF('Input Page'!$F$53="Yes",S117/K117,IF('Input Page'!$F$54="Yes",S117/M117,""))</f>
        <v>#DIV/0!</v>
      </c>
      <c r="U117" s="177"/>
      <c r="V117" s="354"/>
      <c r="W117" s="1"/>
      <c r="X117" s="1"/>
      <c r="Y117" s="1"/>
      <c r="Z117" s="51"/>
      <c r="AA117" s="1"/>
      <c r="AB117" s="1"/>
      <c r="AC117" s="1"/>
      <c r="AD117" s="1"/>
      <c r="AE117" s="51"/>
      <c r="AF117" s="1234"/>
      <c r="AG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</row>
    <row r="118" spans="1:62" ht="18" hidden="1">
      <c r="A118" s="183">
        <v>6611</v>
      </c>
      <c r="B118" s="186" t="s">
        <v>494</v>
      </c>
      <c r="C118" s="186"/>
      <c r="D118" s="1277"/>
      <c r="E118" s="1258"/>
      <c r="F118" s="1298"/>
      <c r="G118" s="186"/>
      <c r="H118" s="1277"/>
      <c r="I118" s="1258"/>
      <c r="J118" s="1298"/>
      <c r="K118" s="175">
        <v>0</v>
      </c>
      <c r="L118" s="1263">
        <v>0</v>
      </c>
      <c r="M118" s="182">
        <v>0</v>
      </c>
      <c r="N118" s="1310" t="e">
        <v>#REF!</v>
      </c>
      <c r="O118" s="182" t="e">
        <v>#REF!</v>
      </c>
      <c r="P118" s="1310" t="e">
        <v>#REF!</v>
      </c>
      <c r="Q118" s="184">
        <f t="shared" si="20"/>
        <v>0</v>
      </c>
      <c r="R118" s="1350" t="e">
        <f t="shared" si="21"/>
        <v>#DIV/0!</v>
      </c>
      <c r="S118" s="184" t="e">
        <f t="shared" si="22"/>
        <v>#REF!</v>
      </c>
      <c r="T118" s="1362" t="e">
        <f>IF('Input Page'!$F$53="Yes",S118/K118,IF('Input Page'!$F$54="Yes",S118/M118,""))</f>
        <v>#REF!</v>
      </c>
      <c r="U118" s="177"/>
      <c r="V118" s="354"/>
      <c r="W118" s="1"/>
      <c r="X118" s="1"/>
      <c r="Y118" s="1"/>
      <c r="Z118" s="51"/>
      <c r="AA118" s="1"/>
      <c r="AB118" s="1"/>
      <c r="AC118" s="1"/>
      <c r="AD118" s="1"/>
      <c r="AE118" s="51"/>
      <c r="AF118" s="1234"/>
      <c r="AG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</row>
    <row r="119" spans="1:62" ht="18" hidden="1">
      <c r="A119" s="183">
        <v>6620</v>
      </c>
      <c r="B119" s="186" t="s">
        <v>495</v>
      </c>
      <c r="C119" s="186"/>
      <c r="D119" s="1277"/>
      <c r="E119" s="1258"/>
      <c r="F119" s="1298"/>
      <c r="G119" s="186"/>
      <c r="H119" s="1277"/>
      <c r="I119" s="1258"/>
      <c r="J119" s="1298"/>
      <c r="K119" s="175">
        <v>0</v>
      </c>
      <c r="L119" s="1263">
        <v>0</v>
      </c>
      <c r="M119" s="182">
        <v>0</v>
      </c>
      <c r="N119" s="1310" t="e">
        <v>#REF!</v>
      </c>
      <c r="O119" s="182" t="e">
        <v>#REF!</v>
      </c>
      <c r="P119" s="1310" t="e">
        <v>#REF!</v>
      </c>
      <c r="Q119" s="184">
        <f t="shared" si="20"/>
        <v>0</v>
      </c>
      <c r="R119" s="1350" t="e">
        <f t="shared" si="21"/>
        <v>#DIV/0!</v>
      </c>
      <c r="S119" s="184" t="e">
        <f t="shared" si="22"/>
        <v>#REF!</v>
      </c>
      <c r="T119" s="1362" t="e">
        <f>IF('Input Page'!$F$53="Yes",S119/K119,IF('Input Page'!$F$54="Yes",S119/M119,""))</f>
        <v>#REF!</v>
      </c>
      <c r="U119" s="177"/>
      <c r="V119" s="354"/>
      <c r="W119" s="1"/>
      <c r="X119" s="1"/>
      <c r="Y119" s="1"/>
      <c r="Z119" s="51"/>
      <c r="AA119" s="1"/>
      <c r="AB119" s="1"/>
      <c r="AC119" s="1"/>
      <c r="AD119" s="1"/>
      <c r="AE119" s="51"/>
      <c r="AF119" s="1234"/>
      <c r="AG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</row>
    <row r="120" spans="1:62" ht="18" hidden="1">
      <c r="A120" s="183">
        <v>6621</v>
      </c>
      <c r="B120" s="186" t="s">
        <v>496</v>
      </c>
      <c r="C120" s="186"/>
      <c r="D120" s="1277"/>
      <c r="E120" s="1258"/>
      <c r="F120" s="1298"/>
      <c r="G120" s="186"/>
      <c r="H120" s="1277"/>
      <c r="I120" s="1258"/>
      <c r="J120" s="1298"/>
      <c r="K120" s="175">
        <v>0</v>
      </c>
      <c r="L120" s="1263">
        <v>0</v>
      </c>
      <c r="M120" s="182">
        <v>0</v>
      </c>
      <c r="N120" s="1310" t="e">
        <v>#REF!</v>
      </c>
      <c r="O120" s="182" t="e">
        <v>#REF!</v>
      </c>
      <c r="P120" s="1310" t="e">
        <v>#REF!</v>
      </c>
      <c r="Q120" s="184">
        <f t="shared" si="20"/>
        <v>0</v>
      </c>
      <c r="R120" s="1350" t="e">
        <f t="shared" si="21"/>
        <v>#DIV/0!</v>
      </c>
      <c r="S120" s="184" t="e">
        <f t="shared" si="22"/>
        <v>#REF!</v>
      </c>
      <c r="T120" s="1362" t="e">
        <f>IF('Input Page'!$F$53="Yes",S120/K120,IF('Input Page'!$F$54="Yes",S120/M120,""))</f>
        <v>#REF!</v>
      </c>
      <c r="U120" s="177"/>
      <c r="V120" s="354"/>
      <c r="W120" s="1"/>
      <c r="X120" s="1"/>
      <c r="Y120" s="1"/>
      <c r="Z120" s="51"/>
      <c r="AA120" s="1"/>
      <c r="AB120" s="1"/>
      <c r="AC120" s="1"/>
      <c r="AD120" s="1"/>
      <c r="AE120" s="51"/>
      <c r="AF120" s="1234"/>
      <c r="AG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</row>
    <row r="121" spans="1:62" ht="18" hidden="1">
      <c r="A121" s="183">
        <v>6630</v>
      </c>
      <c r="B121" s="186" t="s">
        <v>497</v>
      </c>
      <c r="C121" s="186"/>
      <c r="D121" s="1277"/>
      <c r="E121" s="1258"/>
      <c r="F121" s="1298"/>
      <c r="G121" s="186"/>
      <c r="H121" s="1277"/>
      <c r="I121" s="1258"/>
      <c r="J121" s="1298"/>
      <c r="K121" s="175">
        <v>0</v>
      </c>
      <c r="L121" s="1263">
        <v>0</v>
      </c>
      <c r="M121" s="182">
        <v>0</v>
      </c>
      <c r="N121" s="1310" t="e">
        <v>#REF!</v>
      </c>
      <c r="O121" s="182" t="e">
        <v>#REF!</v>
      </c>
      <c r="P121" s="1310" t="e">
        <v>#REF!</v>
      </c>
      <c r="Q121" s="184">
        <f t="shared" si="20"/>
        <v>0</v>
      </c>
      <c r="R121" s="1350" t="e">
        <f t="shared" si="21"/>
        <v>#DIV/0!</v>
      </c>
      <c r="S121" s="184" t="e">
        <f t="shared" si="22"/>
        <v>#REF!</v>
      </c>
      <c r="T121" s="1362" t="e">
        <f>IF('Input Page'!$F$53="Yes",S121/K121,IF('Input Page'!$F$54="Yes",S121/M121,""))</f>
        <v>#REF!</v>
      </c>
      <c r="U121" s="177"/>
      <c r="V121" s="354"/>
      <c r="W121" s="1"/>
      <c r="X121" s="1"/>
      <c r="Y121" s="1"/>
      <c r="Z121" s="51"/>
      <c r="AA121" s="1"/>
      <c r="AB121" s="1"/>
      <c r="AC121" s="1"/>
      <c r="AD121" s="1"/>
      <c r="AE121" s="51"/>
      <c r="AF121" s="1234"/>
      <c r="AG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</row>
    <row r="122" spans="1:62" ht="18" hidden="1">
      <c r="A122" s="183">
        <v>6640</v>
      </c>
      <c r="B122" s="186" t="s">
        <v>498</v>
      </c>
      <c r="C122" s="186"/>
      <c r="D122" s="1277"/>
      <c r="E122" s="1258"/>
      <c r="F122" s="1298"/>
      <c r="G122" s="186"/>
      <c r="H122" s="1277"/>
      <c r="I122" s="1258"/>
      <c r="J122" s="1298"/>
      <c r="K122" s="175">
        <v>0</v>
      </c>
      <c r="L122" s="1263">
        <v>0</v>
      </c>
      <c r="M122" s="182">
        <v>0</v>
      </c>
      <c r="N122" s="1310" t="e">
        <v>#REF!</v>
      </c>
      <c r="O122" s="182" t="e">
        <v>#REF!</v>
      </c>
      <c r="P122" s="1310" t="e">
        <v>#REF!</v>
      </c>
      <c r="Q122" s="184">
        <f t="shared" si="20"/>
        <v>0</v>
      </c>
      <c r="R122" s="1350" t="e">
        <f t="shared" si="21"/>
        <v>#DIV/0!</v>
      </c>
      <c r="S122" s="184" t="e">
        <f t="shared" si="22"/>
        <v>#REF!</v>
      </c>
      <c r="T122" s="1362" t="e">
        <f>IF('Input Page'!$F$53="Yes",S122/K122,IF('Input Page'!$F$54="Yes",S122/M122,""))</f>
        <v>#REF!</v>
      </c>
      <c r="U122" s="177"/>
      <c r="V122" s="354"/>
      <c r="W122" s="1"/>
      <c r="X122" s="1"/>
      <c r="Y122" s="1"/>
      <c r="Z122" s="51"/>
      <c r="AA122" s="1"/>
      <c r="AB122" s="1"/>
      <c r="AC122" s="1"/>
      <c r="AD122" s="1"/>
      <c r="AE122" s="51"/>
      <c r="AF122" s="1234"/>
      <c r="AG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</row>
    <row r="123" spans="1:62" ht="18" hidden="1">
      <c r="A123" s="183">
        <v>6650</v>
      </c>
      <c r="B123" s="186" t="s">
        <v>499</v>
      </c>
      <c r="C123" s="186"/>
      <c r="D123" s="1277"/>
      <c r="E123" s="1258"/>
      <c r="F123" s="1298"/>
      <c r="G123" s="186"/>
      <c r="H123" s="1277"/>
      <c r="I123" s="1258"/>
      <c r="J123" s="1298"/>
      <c r="K123" s="175">
        <v>0</v>
      </c>
      <c r="L123" s="1263">
        <v>0</v>
      </c>
      <c r="M123" s="182">
        <v>0</v>
      </c>
      <c r="N123" s="1310" t="e">
        <v>#REF!</v>
      </c>
      <c r="O123" s="182" t="e">
        <v>#REF!</v>
      </c>
      <c r="P123" s="1310" t="e">
        <v>#REF!</v>
      </c>
      <c r="Q123" s="184">
        <f t="shared" si="20"/>
        <v>0</v>
      </c>
      <c r="R123" s="1350" t="e">
        <f t="shared" si="21"/>
        <v>#DIV/0!</v>
      </c>
      <c r="S123" s="184" t="e">
        <f t="shared" si="22"/>
        <v>#REF!</v>
      </c>
      <c r="T123" s="1362" t="e">
        <f>IF('Input Page'!$F$53="Yes",S123/K123,IF('Input Page'!$F$54="Yes",S123/M123,""))</f>
        <v>#REF!</v>
      </c>
      <c r="U123" s="177"/>
      <c r="V123" s="354"/>
      <c r="W123" s="1"/>
      <c r="X123" s="1"/>
      <c r="Y123" s="1"/>
      <c r="Z123" s="51"/>
      <c r="AA123" s="1"/>
      <c r="AB123" s="1"/>
      <c r="AC123" s="1"/>
      <c r="AD123" s="1"/>
      <c r="AE123" s="51"/>
      <c r="AF123" s="1234"/>
      <c r="AG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</row>
    <row r="124" spans="1:62" ht="18" hidden="1">
      <c r="A124" s="183">
        <v>6660</v>
      </c>
      <c r="B124" s="186" t="s">
        <v>500</v>
      </c>
      <c r="C124" s="186"/>
      <c r="D124" s="1277"/>
      <c r="E124" s="1258"/>
      <c r="F124" s="1298"/>
      <c r="G124" s="186"/>
      <c r="H124" s="1277"/>
      <c r="I124" s="1258"/>
      <c r="J124" s="1298"/>
      <c r="K124" s="175">
        <v>0</v>
      </c>
      <c r="L124" s="1263">
        <v>0</v>
      </c>
      <c r="M124" s="182">
        <v>0</v>
      </c>
      <c r="N124" s="1310" t="e">
        <v>#REF!</v>
      </c>
      <c r="O124" s="182" t="e">
        <v>#REF!</v>
      </c>
      <c r="P124" s="1310" t="e">
        <v>#REF!</v>
      </c>
      <c r="Q124" s="184">
        <f t="shared" si="20"/>
        <v>0</v>
      </c>
      <c r="R124" s="1350" t="e">
        <f t="shared" si="21"/>
        <v>#DIV/0!</v>
      </c>
      <c r="S124" s="184" t="e">
        <f t="shared" si="22"/>
        <v>#REF!</v>
      </c>
      <c r="T124" s="1362" t="e">
        <f>IF('Input Page'!$F$53="Yes",S124/K124,IF('Input Page'!$F$54="Yes",S124/M124,""))</f>
        <v>#REF!</v>
      </c>
      <c r="U124" s="177"/>
      <c r="V124" s="354"/>
      <c r="W124" s="1"/>
      <c r="X124" s="1"/>
      <c r="Y124" s="1"/>
      <c r="Z124" s="51"/>
      <c r="AA124" s="1"/>
      <c r="AB124" s="1"/>
      <c r="AC124" s="1"/>
      <c r="AD124" s="1"/>
      <c r="AE124" s="51"/>
      <c r="AF124" s="1234"/>
      <c r="AG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</row>
    <row r="125" spans="1:62" ht="18" hidden="1">
      <c r="A125" s="183">
        <v>6670</v>
      </c>
      <c r="B125" s="186" t="s">
        <v>501</v>
      </c>
      <c r="C125" s="186"/>
      <c r="D125" s="1277"/>
      <c r="E125" s="1258"/>
      <c r="F125" s="1298"/>
      <c r="G125" s="186"/>
      <c r="H125" s="1277"/>
      <c r="I125" s="1258"/>
      <c r="J125" s="1298"/>
      <c r="K125" s="175">
        <v>0</v>
      </c>
      <c r="L125" s="1263">
        <v>0</v>
      </c>
      <c r="M125" s="182">
        <v>0</v>
      </c>
      <c r="N125" s="1310" t="e">
        <v>#REF!</v>
      </c>
      <c r="O125" s="182" t="e">
        <v>#REF!</v>
      </c>
      <c r="P125" s="1310" t="e">
        <v>#REF!</v>
      </c>
      <c r="Q125" s="184">
        <f t="shared" si="20"/>
        <v>0</v>
      </c>
      <c r="R125" s="1350" t="e">
        <f t="shared" si="21"/>
        <v>#DIV/0!</v>
      </c>
      <c r="S125" s="184" t="e">
        <f t="shared" si="22"/>
        <v>#REF!</v>
      </c>
      <c r="T125" s="1362" t="e">
        <f>IF('Input Page'!$F$53="Yes",S125/K125,IF('Input Page'!$F$54="Yes",S125/M125,""))</f>
        <v>#REF!</v>
      </c>
      <c r="U125" s="177"/>
      <c r="V125" s="354"/>
      <c r="W125" s="1"/>
      <c r="X125" s="1"/>
      <c r="Y125" s="1"/>
      <c r="Z125" s="51"/>
      <c r="AA125" s="1"/>
      <c r="AB125" s="1"/>
      <c r="AC125" s="1"/>
      <c r="AD125" s="1"/>
      <c r="AE125" s="51"/>
      <c r="AF125" s="1234"/>
      <c r="AG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</row>
    <row r="126" spans="1:62" ht="18" hidden="1">
      <c r="A126" s="183">
        <v>6680</v>
      </c>
      <c r="B126" s="186" t="s">
        <v>502</v>
      </c>
      <c r="C126" s="186"/>
      <c r="D126" s="1277"/>
      <c r="E126" s="1258"/>
      <c r="F126" s="1298"/>
      <c r="G126" s="186"/>
      <c r="H126" s="1277"/>
      <c r="I126" s="1258"/>
      <c r="J126" s="1298"/>
      <c r="K126" s="184">
        <v>0</v>
      </c>
      <c r="L126" s="1303">
        <v>0</v>
      </c>
      <c r="M126" s="185">
        <v>0</v>
      </c>
      <c r="N126" s="1320" t="e">
        <v>#REF!</v>
      </c>
      <c r="O126" s="185" t="e">
        <v>#REF!</v>
      </c>
      <c r="P126" s="1320" t="e">
        <v>#REF!</v>
      </c>
      <c r="Q126" s="184">
        <f t="shared" si="20"/>
        <v>0</v>
      </c>
      <c r="R126" s="1350" t="e">
        <f t="shared" si="21"/>
        <v>#DIV/0!</v>
      </c>
      <c r="S126" s="184" t="e">
        <f t="shared" si="22"/>
        <v>#REF!</v>
      </c>
      <c r="T126" s="1362" t="e">
        <f>IF('Input Page'!$F$53="Yes",S126/K126,IF('Input Page'!$F$54="Yes",S126/M126,""))</f>
        <v>#REF!</v>
      </c>
      <c r="U126" s="177"/>
      <c r="V126" s="354"/>
      <c r="W126" s="1"/>
      <c r="X126" s="1"/>
      <c r="Y126" s="1"/>
      <c r="Z126" s="51"/>
      <c r="AA126" s="1"/>
      <c r="AB126" s="1"/>
      <c r="AC126" s="1"/>
      <c r="AD126" s="1"/>
      <c r="AE126" s="51"/>
      <c r="AF126" s="1234"/>
      <c r="AG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</row>
    <row r="127" spans="1:62" ht="18" hidden="1">
      <c r="A127" s="183"/>
      <c r="B127" s="175"/>
      <c r="C127" s="175"/>
      <c r="D127" s="1263"/>
      <c r="E127" s="1249"/>
      <c r="F127" s="1287"/>
      <c r="G127" s="175"/>
      <c r="H127" s="1263"/>
      <c r="I127" s="1249"/>
      <c r="J127" s="1287"/>
      <c r="K127" s="184">
        <v>0</v>
      </c>
      <c r="L127" s="1303">
        <v>0</v>
      </c>
      <c r="M127" s="185">
        <v>0</v>
      </c>
      <c r="N127" s="1320" t="e">
        <v>#REF!</v>
      </c>
      <c r="O127" s="185" t="e">
        <v>#REF!</v>
      </c>
      <c r="P127" s="1320" t="e">
        <v>#REF!</v>
      </c>
      <c r="Q127" s="184">
        <f t="shared" si="20"/>
        <v>0</v>
      </c>
      <c r="R127" s="1350" t="e">
        <f t="shared" si="21"/>
        <v>#DIV/0!</v>
      </c>
      <c r="S127" s="184" t="e">
        <f t="shared" si="22"/>
        <v>#REF!</v>
      </c>
      <c r="T127" s="1362" t="e">
        <f>IF('Input Page'!$F$53="Yes",S127/K127,IF('Input Page'!$F$54="Yes",S127/M127,""))</f>
        <v>#REF!</v>
      </c>
      <c r="U127" s="177"/>
      <c r="V127" s="354"/>
      <c r="W127" s="1"/>
      <c r="X127" s="1"/>
      <c r="Y127" s="1"/>
      <c r="Z127" s="51"/>
      <c r="AA127" s="1"/>
      <c r="AB127" s="1"/>
      <c r="AC127" s="1"/>
      <c r="AD127" s="1"/>
      <c r="AE127" s="51"/>
      <c r="AF127" s="1234"/>
      <c r="AG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</row>
    <row r="128" spans="1:62" ht="18" hidden="1">
      <c r="A128" s="183"/>
      <c r="B128" s="175"/>
      <c r="C128" s="175"/>
      <c r="D128" s="1263"/>
      <c r="E128" s="1249"/>
      <c r="F128" s="1287"/>
      <c r="G128" s="175"/>
      <c r="H128" s="1263"/>
      <c r="I128" s="1249"/>
      <c r="J128" s="1287"/>
      <c r="K128" s="176"/>
      <c r="L128" s="1268"/>
      <c r="M128" s="182"/>
      <c r="N128" s="1310"/>
      <c r="O128" s="182"/>
      <c r="P128" s="1310"/>
      <c r="Q128" s="184">
        <f t="shared" si="20"/>
        <v>0</v>
      </c>
      <c r="R128" s="1350" t="e">
        <f t="shared" si="21"/>
        <v>#DIV/0!</v>
      </c>
      <c r="S128" s="184">
        <f t="shared" si="22"/>
        <v>0</v>
      </c>
      <c r="T128" s="1362" t="e">
        <f>IF('Input Page'!$F$53="Yes",S128/K128,IF('Input Page'!$F$54="Yes",S128/M128,""))</f>
        <v>#DIV/0!</v>
      </c>
      <c r="U128" s="177"/>
      <c r="V128" s="354"/>
      <c r="W128" s="1"/>
      <c r="X128" s="1"/>
      <c r="Y128" s="1"/>
      <c r="Z128" s="51"/>
      <c r="AA128" s="1"/>
      <c r="AB128" s="1"/>
      <c r="AC128" s="1"/>
      <c r="AD128" s="1"/>
      <c r="AE128" s="51"/>
      <c r="AF128" s="1234"/>
      <c r="AG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</row>
    <row r="129" spans="1:62" ht="18" hidden="1">
      <c r="A129" s="183"/>
      <c r="B129" s="181" t="s">
        <v>503</v>
      </c>
      <c r="C129" s="181"/>
      <c r="D129" s="1276"/>
      <c r="E129" s="1257"/>
      <c r="F129" s="1297"/>
      <c r="G129" s="181"/>
      <c r="H129" s="1276"/>
      <c r="I129" s="1257"/>
      <c r="J129" s="1297"/>
      <c r="K129" s="176"/>
      <c r="L129" s="1268"/>
      <c r="M129" s="182"/>
      <c r="N129" s="1310"/>
      <c r="O129" s="182"/>
      <c r="P129" s="1310"/>
      <c r="Q129" s="184">
        <f t="shared" si="20"/>
        <v>0</v>
      </c>
      <c r="R129" s="1350" t="e">
        <f t="shared" si="21"/>
        <v>#DIV/0!</v>
      </c>
      <c r="S129" s="184">
        <f t="shared" si="22"/>
        <v>0</v>
      </c>
      <c r="T129" s="1362" t="e">
        <f>IF('Input Page'!$F$53="Yes",S129/K129,IF('Input Page'!$F$54="Yes",S129/M129,""))</f>
        <v>#DIV/0!</v>
      </c>
      <c r="U129" s="177"/>
      <c r="V129" s="354"/>
      <c r="W129" s="1"/>
      <c r="X129" s="1"/>
      <c r="Y129" s="1"/>
      <c r="Z129" s="51"/>
      <c r="AA129" s="1"/>
      <c r="AB129" s="1"/>
      <c r="AC129" s="1"/>
      <c r="AD129" s="1"/>
      <c r="AE129" s="51"/>
      <c r="AF129" s="1234"/>
      <c r="AG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</row>
    <row r="130" spans="1:62" ht="18" hidden="1">
      <c r="A130" s="183">
        <v>6810</v>
      </c>
      <c r="B130" s="186" t="s">
        <v>504</v>
      </c>
      <c r="C130" s="186"/>
      <c r="D130" s="1277"/>
      <c r="E130" s="1258"/>
      <c r="F130" s="1298"/>
      <c r="G130" s="186"/>
      <c r="H130" s="1277"/>
      <c r="I130" s="1258"/>
      <c r="J130" s="1298"/>
      <c r="K130" s="175">
        <v>0</v>
      </c>
      <c r="L130" s="1263">
        <v>0</v>
      </c>
      <c r="M130" s="182">
        <v>0</v>
      </c>
      <c r="N130" s="1310" t="e">
        <v>#REF!</v>
      </c>
      <c r="O130" s="182" t="e">
        <v>#REF!</v>
      </c>
      <c r="P130" s="1310" t="e">
        <v>#REF!</v>
      </c>
      <c r="Q130" s="184">
        <f t="shared" si="20"/>
        <v>0</v>
      </c>
      <c r="R130" s="1350" t="e">
        <f t="shared" si="21"/>
        <v>#DIV/0!</v>
      </c>
      <c r="S130" s="184" t="e">
        <f t="shared" si="22"/>
        <v>#REF!</v>
      </c>
      <c r="T130" s="1362" t="e">
        <f>IF('Input Page'!$F$53="Yes",S130/K130,IF('Input Page'!$F$54="Yes",S130/M130,""))</f>
        <v>#REF!</v>
      </c>
      <c r="U130" s="177"/>
      <c r="V130" s="354"/>
      <c r="W130" s="1"/>
      <c r="X130" s="1"/>
      <c r="Y130" s="1"/>
      <c r="Z130" s="51"/>
      <c r="AA130" s="1"/>
      <c r="AB130" s="1"/>
      <c r="AC130" s="1"/>
      <c r="AD130" s="1"/>
      <c r="AE130" s="51"/>
      <c r="AF130" s="1234"/>
      <c r="AG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</row>
    <row r="131" spans="1:62" ht="18" hidden="1">
      <c r="A131" s="183">
        <v>6820</v>
      </c>
      <c r="B131" s="186" t="s">
        <v>505</v>
      </c>
      <c r="C131" s="186"/>
      <c r="D131" s="1277"/>
      <c r="E131" s="1258"/>
      <c r="F131" s="1298"/>
      <c r="G131" s="186"/>
      <c r="H131" s="1277"/>
      <c r="I131" s="1258"/>
      <c r="J131" s="1298"/>
      <c r="K131" s="175">
        <v>0</v>
      </c>
      <c r="L131" s="1263">
        <v>0</v>
      </c>
      <c r="M131" s="182">
        <v>0</v>
      </c>
      <c r="N131" s="1310" t="e">
        <v>#REF!</v>
      </c>
      <c r="O131" s="182" t="e">
        <v>#REF!</v>
      </c>
      <c r="P131" s="1310" t="e">
        <v>#REF!</v>
      </c>
      <c r="Q131" s="184">
        <f t="shared" si="20"/>
        <v>0</v>
      </c>
      <c r="R131" s="1350" t="e">
        <f t="shared" si="21"/>
        <v>#DIV/0!</v>
      </c>
      <c r="S131" s="184" t="e">
        <f t="shared" si="22"/>
        <v>#REF!</v>
      </c>
      <c r="T131" s="1362" t="e">
        <f>IF('Input Page'!$F$53="Yes",S131/K131,IF('Input Page'!$F$54="Yes",S131/M131,""))</f>
        <v>#REF!</v>
      </c>
      <c r="U131" s="177"/>
      <c r="V131" s="354"/>
      <c r="W131" s="1"/>
      <c r="X131" s="1"/>
      <c r="Y131" s="1"/>
      <c r="Z131" s="51"/>
      <c r="AA131" s="1"/>
      <c r="AB131" s="1"/>
      <c r="AC131" s="1"/>
      <c r="AD131" s="1"/>
      <c r="AE131" s="51"/>
      <c r="AF131" s="1234"/>
      <c r="AG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</row>
    <row r="132" spans="1:62" ht="18" hidden="1">
      <c r="A132" s="183">
        <v>6830</v>
      </c>
      <c r="B132" s="186" t="s">
        <v>506</v>
      </c>
      <c r="C132" s="186"/>
      <c r="D132" s="1277"/>
      <c r="E132" s="1258"/>
      <c r="F132" s="1298"/>
      <c r="G132" s="186"/>
      <c r="H132" s="1277"/>
      <c r="I132" s="1258"/>
      <c r="J132" s="1298"/>
      <c r="K132" s="175">
        <v>0</v>
      </c>
      <c r="L132" s="1263">
        <v>0</v>
      </c>
      <c r="M132" s="182">
        <v>0</v>
      </c>
      <c r="N132" s="1310" t="e">
        <v>#REF!</v>
      </c>
      <c r="O132" s="182" t="e">
        <v>#REF!</v>
      </c>
      <c r="P132" s="1310" t="e">
        <v>#REF!</v>
      </c>
      <c r="Q132" s="184">
        <f t="shared" si="20"/>
        <v>0</v>
      </c>
      <c r="R132" s="1350" t="e">
        <f t="shared" si="21"/>
        <v>#DIV/0!</v>
      </c>
      <c r="S132" s="184" t="e">
        <f t="shared" si="22"/>
        <v>#REF!</v>
      </c>
      <c r="T132" s="1362" t="e">
        <f>IF('Input Page'!$F$53="Yes",S132/K132,IF('Input Page'!$F$54="Yes",S132/M132,""))</f>
        <v>#REF!</v>
      </c>
      <c r="U132" s="177"/>
      <c r="V132" s="354"/>
      <c r="W132" s="1"/>
      <c r="X132" s="1"/>
      <c r="Y132" s="1"/>
      <c r="Z132" s="51"/>
      <c r="AA132" s="1"/>
      <c r="AB132" s="1"/>
      <c r="AC132" s="1"/>
      <c r="AD132" s="1"/>
      <c r="AE132" s="51"/>
      <c r="AF132" s="1234"/>
      <c r="AG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</row>
    <row r="133" spans="1:62" ht="18" hidden="1">
      <c r="A133" s="183">
        <v>6831</v>
      </c>
      <c r="B133" s="186" t="s">
        <v>507</v>
      </c>
      <c r="C133" s="186"/>
      <c r="D133" s="1277"/>
      <c r="E133" s="1258"/>
      <c r="F133" s="1298"/>
      <c r="G133" s="186"/>
      <c r="H133" s="1277"/>
      <c r="I133" s="1258"/>
      <c r="J133" s="1298"/>
      <c r="K133" s="175">
        <v>0</v>
      </c>
      <c r="L133" s="1263">
        <v>0</v>
      </c>
      <c r="M133" s="182">
        <v>0</v>
      </c>
      <c r="N133" s="1310" t="e">
        <v>#REF!</v>
      </c>
      <c r="O133" s="182" t="e">
        <v>#REF!</v>
      </c>
      <c r="P133" s="1310" t="e">
        <v>#REF!</v>
      </c>
      <c r="Q133" s="184">
        <f t="shared" si="20"/>
        <v>0</v>
      </c>
      <c r="R133" s="1350" t="e">
        <f t="shared" si="21"/>
        <v>#DIV/0!</v>
      </c>
      <c r="S133" s="184" t="e">
        <f t="shared" si="22"/>
        <v>#REF!</v>
      </c>
      <c r="T133" s="1362" t="e">
        <f>IF('Input Page'!$F$53="Yes",S133/K133,IF('Input Page'!$F$54="Yes",S133/M133,""))</f>
        <v>#REF!</v>
      </c>
      <c r="U133" s="177"/>
      <c r="V133" s="354"/>
      <c r="W133" s="1"/>
      <c r="X133" s="1"/>
      <c r="Y133" s="1"/>
      <c r="Z133" s="51"/>
      <c r="AA133" s="1"/>
      <c r="AB133" s="1"/>
      <c r="AC133" s="1"/>
      <c r="AD133" s="1"/>
      <c r="AE133" s="51"/>
      <c r="AF133" s="1234"/>
      <c r="AG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</row>
    <row r="134" spans="1:62" ht="18" hidden="1">
      <c r="A134" s="183">
        <v>6840</v>
      </c>
      <c r="B134" s="186" t="s">
        <v>508</v>
      </c>
      <c r="C134" s="186"/>
      <c r="D134" s="1277"/>
      <c r="E134" s="1258"/>
      <c r="F134" s="1298"/>
      <c r="G134" s="186"/>
      <c r="H134" s="1277"/>
      <c r="I134" s="1258"/>
      <c r="J134" s="1298"/>
      <c r="K134" s="175">
        <v>0</v>
      </c>
      <c r="L134" s="1263">
        <v>0</v>
      </c>
      <c r="M134" s="182">
        <v>0</v>
      </c>
      <c r="N134" s="1310" t="e">
        <v>#REF!</v>
      </c>
      <c r="O134" s="182" t="e">
        <v>#REF!</v>
      </c>
      <c r="P134" s="1310" t="e">
        <v>#REF!</v>
      </c>
      <c r="Q134" s="184">
        <f t="shared" si="20"/>
        <v>0</v>
      </c>
      <c r="R134" s="1350" t="e">
        <f t="shared" si="21"/>
        <v>#DIV/0!</v>
      </c>
      <c r="S134" s="184" t="e">
        <f t="shared" si="22"/>
        <v>#REF!</v>
      </c>
      <c r="T134" s="1362" t="e">
        <f>IF('Input Page'!$F$53="Yes",S134/K134,IF('Input Page'!$F$54="Yes",S134/M134,""))</f>
        <v>#REF!</v>
      </c>
      <c r="U134" s="177"/>
      <c r="V134" s="354"/>
      <c r="W134" s="1"/>
      <c r="X134" s="1"/>
      <c r="Y134" s="1"/>
      <c r="Z134" s="51"/>
      <c r="AA134" s="1"/>
      <c r="AB134" s="1"/>
      <c r="AC134" s="1"/>
      <c r="AD134" s="1"/>
      <c r="AE134" s="51"/>
      <c r="AF134" s="1234"/>
      <c r="AG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</row>
    <row r="135" spans="1:62" ht="18" hidden="1">
      <c r="A135" s="183">
        <v>6850</v>
      </c>
      <c r="B135" s="186" t="s">
        <v>509</v>
      </c>
      <c r="C135" s="186"/>
      <c r="D135" s="1277"/>
      <c r="E135" s="1258"/>
      <c r="F135" s="1298"/>
      <c r="G135" s="186"/>
      <c r="H135" s="1277"/>
      <c r="I135" s="1258"/>
      <c r="J135" s="1298"/>
      <c r="K135" s="175">
        <v>0</v>
      </c>
      <c r="L135" s="1263">
        <v>0</v>
      </c>
      <c r="M135" s="182">
        <v>0</v>
      </c>
      <c r="N135" s="1310" t="e">
        <v>#REF!</v>
      </c>
      <c r="O135" s="182" t="e">
        <v>#REF!</v>
      </c>
      <c r="P135" s="1310" t="e">
        <v>#REF!</v>
      </c>
      <c r="Q135" s="184">
        <f t="shared" si="20"/>
        <v>0</v>
      </c>
      <c r="R135" s="1350" t="e">
        <f t="shared" si="21"/>
        <v>#DIV/0!</v>
      </c>
      <c r="S135" s="184" t="e">
        <f t="shared" si="22"/>
        <v>#REF!</v>
      </c>
      <c r="T135" s="1362" t="e">
        <f>IF('Input Page'!$F$53="Yes",S135/K135,IF('Input Page'!$F$54="Yes",S135/M135,""))</f>
        <v>#REF!</v>
      </c>
      <c r="U135" s="177"/>
      <c r="V135" s="354"/>
      <c r="W135" s="1"/>
      <c r="X135" s="1"/>
      <c r="Y135" s="1"/>
      <c r="Z135" s="51"/>
      <c r="AA135" s="1"/>
      <c r="AB135" s="1"/>
      <c r="AC135" s="1"/>
      <c r="AD135" s="1"/>
      <c r="AE135" s="51"/>
      <c r="AF135" s="1234"/>
      <c r="AG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</row>
    <row r="136" spans="1:62" ht="18" hidden="1">
      <c r="A136" s="183">
        <v>6860</v>
      </c>
      <c r="B136" s="186" t="s">
        <v>510</v>
      </c>
      <c r="C136" s="186"/>
      <c r="D136" s="1277"/>
      <c r="E136" s="1258"/>
      <c r="F136" s="1298"/>
      <c r="G136" s="186"/>
      <c r="H136" s="1277"/>
      <c r="I136" s="1258"/>
      <c r="J136" s="1298"/>
      <c r="K136" s="175">
        <v>0</v>
      </c>
      <c r="L136" s="1263">
        <v>0</v>
      </c>
      <c r="M136" s="182">
        <v>0</v>
      </c>
      <c r="N136" s="1310" t="e">
        <v>#REF!</v>
      </c>
      <c r="O136" s="182" t="e">
        <v>#REF!</v>
      </c>
      <c r="P136" s="1310" t="e">
        <v>#REF!</v>
      </c>
      <c r="Q136" s="184">
        <f t="shared" si="20"/>
        <v>0</v>
      </c>
      <c r="R136" s="1350" t="e">
        <f t="shared" si="21"/>
        <v>#DIV/0!</v>
      </c>
      <c r="S136" s="184" t="e">
        <f t="shared" si="22"/>
        <v>#REF!</v>
      </c>
      <c r="T136" s="1362" t="e">
        <f>IF('Input Page'!$F$53="Yes",S136/K136,IF('Input Page'!$F$54="Yes",S136/M136,""))</f>
        <v>#REF!</v>
      </c>
      <c r="U136" s="177"/>
      <c r="V136" s="354"/>
      <c r="W136" s="1"/>
      <c r="X136" s="1"/>
      <c r="Y136" s="1"/>
      <c r="Z136" s="51"/>
      <c r="AA136" s="1"/>
      <c r="AB136" s="1"/>
      <c r="AC136" s="1"/>
      <c r="AD136" s="1"/>
      <c r="AE136" s="51"/>
      <c r="AF136" s="1234"/>
      <c r="AG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</row>
    <row r="137" spans="1:62" ht="18" hidden="1">
      <c r="A137" s="183">
        <v>6890</v>
      </c>
      <c r="B137" s="186" t="s">
        <v>511</v>
      </c>
      <c r="C137" s="186"/>
      <c r="D137" s="1277"/>
      <c r="E137" s="1258"/>
      <c r="F137" s="1298"/>
      <c r="G137" s="186"/>
      <c r="H137" s="1277"/>
      <c r="I137" s="1258"/>
      <c r="J137" s="1298"/>
      <c r="K137" s="184">
        <v>0</v>
      </c>
      <c r="L137" s="1303">
        <v>0</v>
      </c>
      <c r="M137" s="185">
        <v>0</v>
      </c>
      <c r="N137" s="1320" t="e">
        <v>#REF!</v>
      </c>
      <c r="O137" s="185" t="e">
        <v>#REF!</v>
      </c>
      <c r="P137" s="1320" t="e">
        <v>#REF!</v>
      </c>
      <c r="Q137" s="184">
        <f t="shared" si="20"/>
        <v>0</v>
      </c>
      <c r="R137" s="1350" t="e">
        <f t="shared" si="21"/>
        <v>#DIV/0!</v>
      </c>
      <c r="S137" s="184" t="e">
        <f t="shared" si="22"/>
        <v>#REF!</v>
      </c>
      <c r="T137" s="1362" t="e">
        <f>IF('Input Page'!$F$53="Yes",S137/K137,IF('Input Page'!$F$54="Yes",S137/M137,""))</f>
        <v>#REF!</v>
      </c>
      <c r="U137" s="177"/>
      <c r="V137" s="354"/>
      <c r="W137" s="1"/>
      <c r="X137" s="1"/>
      <c r="Y137" s="1"/>
      <c r="Z137" s="51"/>
      <c r="AA137" s="1"/>
      <c r="AB137" s="1"/>
      <c r="AC137" s="1"/>
      <c r="AD137" s="1"/>
      <c r="AE137" s="51"/>
      <c r="AF137" s="1234"/>
      <c r="AG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</row>
    <row r="138" spans="1:62" ht="18" hidden="1">
      <c r="A138" s="183"/>
      <c r="B138" s="175"/>
      <c r="C138" s="175"/>
      <c r="D138" s="1263"/>
      <c r="E138" s="1249"/>
      <c r="F138" s="1287"/>
      <c r="G138" s="175"/>
      <c r="H138" s="1263"/>
      <c r="I138" s="1249"/>
      <c r="J138" s="1287"/>
      <c r="K138" s="184">
        <v>0</v>
      </c>
      <c r="L138" s="1303">
        <v>0</v>
      </c>
      <c r="M138" s="185">
        <v>0</v>
      </c>
      <c r="N138" s="1320" t="e">
        <v>#REF!</v>
      </c>
      <c r="O138" s="185" t="e">
        <v>#REF!</v>
      </c>
      <c r="P138" s="1320" t="e">
        <v>#REF!</v>
      </c>
      <c r="Q138" s="184">
        <f t="shared" si="20"/>
        <v>0</v>
      </c>
      <c r="R138" s="1350" t="e">
        <f t="shared" si="21"/>
        <v>#DIV/0!</v>
      </c>
      <c r="S138" s="184" t="e">
        <f t="shared" si="22"/>
        <v>#REF!</v>
      </c>
      <c r="T138" s="1362" t="e">
        <f>IF('Input Page'!$F$53="Yes",S138/K138,IF('Input Page'!$F$54="Yes",S138/M138,""))</f>
        <v>#REF!</v>
      </c>
      <c r="U138" s="177"/>
      <c r="V138" s="354"/>
      <c r="W138" s="1"/>
      <c r="X138" s="1"/>
      <c r="Y138" s="1"/>
      <c r="Z138" s="51"/>
      <c r="AA138" s="1"/>
      <c r="AB138" s="1"/>
      <c r="AC138" s="1"/>
      <c r="AD138" s="1"/>
      <c r="AE138" s="51"/>
      <c r="AF138" s="1234"/>
      <c r="AG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</row>
    <row r="139" spans="1:62" ht="18" hidden="1">
      <c r="A139" s="183"/>
      <c r="B139" s="175"/>
      <c r="C139" s="175"/>
      <c r="D139" s="1263"/>
      <c r="E139" s="1249"/>
      <c r="F139" s="1287"/>
      <c r="G139" s="175"/>
      <c r="H139" s="1263"/>
      <c r="I139" s="1249"/>
      <c r="J139" s="1287"/>
      <c r="K139" s="176"/>
      <c r="L139" s="1268"/>
      <c r="M139" s="182"/>
      <c r="N139" s="1310"/>
      <c r="O139" s="182"/>
      <c r="P139" s="1310"/>
      <c r="Q139" s="184">
        <f t="shared" si="20"/>
        <v>0</v>
      </c>
      <c r="R139" s="1350" t="e">
        <f t="shared" si="21"/>
        <v>#DIV/0!</v>
      </c>
      <c r="S139" s="184">
        <f t="shared" si="22"/>
        <v>0</v>
      </c>
      <c r="T139" s="1362" t="e">
        <f>IF('Input Page'!$F$53="Yes",S139/K139,IF('Input Page'!$F$54="Yes",S139/M139,""))</f>
        <v>#DIV/0!</v>
      </c>
      <c r="U139" s="177"/>
      <c r="V139" s="354"/>
      <c r="W139" s="1"/>
      <c r="X139" s="1"/>
      <c r="Y139" s="1"/>
      <c r="Z139" s="51"/>
      <c r="AA139" s="1"/>
      <c r="AB139" s="1"/>
      <c r="AC139" s="1"/>
      <c r="AD139" s="1"/>
      <c r="AE139" s="51"/>
      <c r="AF139" s="1234"/>
      <c r="AG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</row>
    <row r="140" spans="1:62" ht="18" hidden="1">
      <c r="A140" s="183"/>
      <c r="B140" s="175" t="s">
        <v>512</v>
      </c>
      <c r="C140" s="175"/>
      <c r="D140" s="1263"/>
      <c r="E140" s="1249"/>
      <c r="F140" s="1287"/>
      <c r="G140" s="175"/>
      <c r="H140" s="1263"/>
      <c r="I140" s="1249"/>
      <c r="J140" s="1287"/>
      <c r="K140" s="184">
        <v>0</v>
      </c>
      <c r="L140" s="1303">
        <v>0</v>
      </c>
      <c r="M140" s="185">
        <v>0</v>
      </c>
      <c r="N140" s="1320" t="e">
        <v>#REF!</v>
      </c>
      <c r="O140" s="185" t="e">
        <v>#REF!</v>
      </c>
      <c r="P140" s="1320" t="e">
        <v>#REF!</v>
      </c>
      <c r="Q140" s="184">
        <f t="shared" si="20"/>
        <v>0</v>
      </c>
      <c r="R140" s="1350" t="e">
        <f t="shared" si="21"/>
        <v>#DIV/0!</v>
      </c>
      <c r="S140" s="184" t="e">
        <f t="shared" si="22"/>
        <v>#REF!</v>
      </c>
      <c r="T140" s="1362" t="e">
        <f>IF('Input Page'!$F$53="Yes",S140/K140,IF('Input Page'!$F$54="Yes",S140/M140,""))</f>
        <v>#REF!</v>
      </c>
      <c r="U140" s="177"/>
      <c r="V140" s="354"/>
      <c r="W140" s="1"/>
      <c r="X140" s="1"/>
      <c r="Y140" s="1"/>
      <c r="Z140" s="51"/>
      <c r="AA140" s="1"/>
      <c r="AB140" s="1"/>
      <c r="AC140" s="1"/>
      <c r="AD140" s="1"/>
      <c r="AE140" s="51"/>
      <c r="AF140" s="1234"/>
      <c r="AG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</row>
    <row r="141" spans="1:62" ht="18" hidden="1">
      <c r="A141" s="183"/>
      <c r="B141" s="175"/>
      <c r="C141" s="175"/>
      <c r="D141" s="1263"/>
      <c r="E141" s="1249"/>
      <c r="F141" s="1287"/>
      <c r="G141" s="175"/>
      <c r="H141" s="1263"/>
      <c r="I141" s="1249"/>
      <c r="J141" s="1287"/>
      <c r="K141" s="176"/>
      <c r="L141" s="1268"/>
      <c r="M141" s="182"/>
      <c r="N141" s="1310"/>
      <c r="O141" s="182"/>
      <c r="P141" s="1310"/>
      <c r="Q141" s="184">
        <f t="shared" si="20"/>
        <v>0</v>
      </c>
      <c r="R141" s="1350" t="e">
        <f t="shared" si="21"/>
        <v>#DIV/0!</v>
      </c>
      <c r="S141" s="184">
        <f t="shared" si="22"/>
        <v>0</v>
      </c>
      <c r="T141" s="1362" t="e">
        <f>IF('Input Page'!$F$53="Yes",S141/K141,IF('Input Page'!$F$54="Yes",S141/M141,""))</f>
        <v>#DIV/0!</v>
      </c>
      <c r="U141" s="177"/>
      <c r="V141" s="354"/>
      <c r="W141" s="1"/>
      <c r="X141" s="1"/>
      <c r="Y141" s="1"/>
      <c r="Z141" s="51"/>
      <c r="AA141" s="1"/>
      <c r="AB141" s="1"/>
      <c r="AC141" s="1"/>
      <c r="AD141" s="1"/>
      <c r="AE141" s="51"/>
      <c r="AF141" s="1234"/>
      <c r="AG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</row>
    <row r="142" spans="1:62" ht="18" hidden="1">
      <c r="A142" s="183"/>
      <c r="B142" s="181" t="s">
        <v>513</v>
      </c>
      <c r="C142" s="181"/>
      <c r="D142" s="1276"/>
      <c r="E142" s="1257"/>
      <c r="F142" s="1297"/>
      <c r="G142" s="181"/>
      <c r="H142" s="1276"/>
      <c r="I142" s="1257"/>
      <c r="J142" s="1297"/>
      <c r="K142" s="176"/>
      <c r="L142" s="1268"/>
      <c r="M142" s="182"/>
      <c r="N142" s="1310"/>
      <c r="O142" s="182"/>
      <c r="P142" s="1310"/>
      <c r="Q142" s="184">
        <f t="shared" si="20"/>
        <v>0</v>
      </c>
      <c r="R142" s="1350" t="e">
        <f t="shared" si="21"/>
        <v>#DIV/0!</v>
      </c>
      <c r="S142" s="184">
        <f t="shared" si="22"/>
        <v>0</v>
      </c>
      <c r="T142" s="1362" t="e">
        <f>IF('Input Page'!$F$53="Yes",S142/K142,IF('Input Page'!$F$54="Yes",S142/M142,""))</f>
        <v>#DIV/0!</v>
      </c>
      <c r="U142" s="177"/>
      <c r="V142" s="354"/>
      <c r="W142" s="1"/>
      <c r="X142" s="1"/>
      <c r="Y142" s="1"/>
      <c r="Z142" s="51"/>
      <c r="AA142" s="1"/>
      <c r="AB142" s="1"/>
      <c r="AC142" s="1"/>
      <c r="AD142" s="1"/>
      <c r="AE142" s="51"/>
      <c r="AF142" s="1234"/>
      <c r="AG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</row>
    <row r="143" spans="1:62" ht="18" hidden="1">
      <c r="A143" s="183">
        <v>6980</v>
      </c>
      <c r="B143" s="186" t="s">
        <v>514</v>
      </c>
      <c r="C143" s="186"/>
      <c r="D143" s="1277"/>
      <c r="E143" s="1258"/>
      <c r="F143" s="1298"/>
      <c r="G143" s="186"/>
      <c r="H143" s="1277"/>
      <c r="I143" s="1258"/>
      <c r="J143" s="1298"/>
      <c r="K143" s="184">
        <v>0</v>
      </c>
      <c r="L143" s="1303">
        <v>0</v>
      </c>
      <c r="M143" s="185">
        <v>0</v>
      </c>
      <c r="N143" s="1320" t="e">
        <v>#REF!</v>
      </c>
      <c r="O143" s="185" t="e">
        <v>#REF!</v>
      </c>
      <c r="P143" s="1320" t="e">
        <v>#REF!</v>
      </c>
      <c r="Q143" s="184">
        <f t="shared" si="20"/>
        <v>0</v>
      </c>
      <c r="R143" s="1350" t="e">
        <f t="shared" si="21"/>
        <v>#DIV/0!</v>
      </c>
      <c r="S143" s="184" t="e">
        <f t="shared" si="22"/>
        <v>#REF!</v>
      </c>
      <c r="T143" s="1362" t="e">
        <f>IF('Input Page'!$F$53="Yes",S143/K143,IF('Input Page'!$F$54="Yes",S143/M143,""))</f>
        <v>#REF!</v>
      </c>
      <c r="U143" s="177"/>
      <c r="V143" s="354"/>
      <c r="W143" s="1"/>
      <c r="X143" s="1"/>
      <c r="Y143" s="1"/>
      <c r="Z143" s="51"/>
      <c r="AA143" s="1"/>
      <c r="AB143" s="1"/>
      <c r="AC143" s="1"/>
      <c r="AD143" s="1"/>
      <c r="AE143" s="51"/>
      <c r="AF143" s="1234"/>
      <c r="AG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</row>
    <row r="144" spans="1:62" ht="18" hidden="1">
      <c r="A144" s="178"/>
      <c r="B144" s="175"/>
      <c r="C144" s="175"/>
      <c r="D144" s="1263"/>
      <c r="E144" s="1249"/>
      <c r="F144" s="1287"/>
      <c r="G144" s="175"/>
      <c r="H144" s="1263"/>
      <c r="I144" s="1249"/>
      <c r="J144" s="1287"/>
      <c r="K144" s="176"/>
      <c r="L144" s="1268"/>
      <c r="M144" s="182"/>
      <c r="N144" s="1310"/>
      <c r="O144" s="182"/>
      <c r="P144" s="1310"/>
      <c r="Q144" s="184">
        <f t="shared" si="20"/>
        <v>0</v>
      </c>
      <c r="R144" s="1350" t="e">
        <f t="shared" si="21"/>
        <v>#DIV/0!</v>
      </c>
      <c r="S144" s="184">
        <f t="shared" si="22"/>
        <v>0</v>
      </c>
      <c r="T144" s="1362" t="e">
        <f>IF('Input Page'!$F$53="Yes",S144/K144,IF('Input Page'!$F$54="Yes",S144/M144,""))</f>
        <v>#DIV/0!</v>
      </c>
      <c r="U144" s="177"/>
      <c r="V144" s="354"/>
      <c r="W144" s="1"/>
      <c r="X144" s="1"/>
      <c r="Y144" s="1"/>
      <c r="Z144" s="51"/>
      <c r="AA144" s="1"/>
      <c r="AB144" s="1"/>
      <c r="AC144" s="1"/>
      <c r="AD144" s="1"/>
      <c r="AE144" s="51"/>
      <c r="AF144" s="1234"/>
      <c r="AG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</row>
    <row r="145" spans="1:62" ht="18" hidden="1">
      <c r="A145" s="178"/>
      <c r="B145" s="181" t="s">
        <v>515</v>
      </c>
      <c r="C145" s="181"/>
      <c r="D145" s="1276"/>
      <c r="E145" s="1257"/>
      <c r="F145" s="1297"/>
      <c r="G145" s="181"/>
      <c r="H145" s="1276"/>
      <c r="I145" s="1257"/>
      <c r="J145" s="1297"/>
      <c r="K145" s="176"/>
      <c r="L145" s="1268"/>
      <c r="M145" s="182"/>
      <c r="N145" s="1310"/>
      <c r="O145" s="182"/>
      <c r="P145" s="1310"/>
      <c r="Q145" s="184">
        <f t="shared" si="20"/>
        <v>0</v>
      </c>
      <c r="R145" s="1350" t="e">
        <f t="shared" si="21"/>
        <v>#DIV/0!</v>
      </c>
      <c r="S145" s="184">
        <f t="shared" si="22"/>
        <v>0</v>
      </c>
      <c r="T145" s="1362" t="e">
        <f>IF('Input Page'!$F$53="Yes",S145/K145,IF('Input Page'!$F$54="Yes",S145/M145,""))</f>
        <v>#DIV/0!</v>
      </c>
      <c r="U145" s="177"/>
      <c r="V145" s="354"/>
      <c r="W145" s="1"/>
      <c r="X145" s="1"/>
      <c r="Y145" s="1"/>
      <c r="Z145" s="51"/>
      <c r="AA145" s="1"/>
      <c r="AB145" s="1"/>
      <c r="AC145" s="1"/>
      <c r="AD145" s="1"/>
      <c r="AE145" s="51"/>
      <c r="AF145" s="1234"/>
      <c r="AG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</row>
    <row r="146" spans="1:62" ht="18" hidden="1">
      <c r="A146" s="183">
        <v>7115</v>
      </c>
      <c r="B146" s="186" t="s">
        <v>516</v>
      </c>
      <c r="C146" s="186"/>
      <c r="D146" s="1277"/>
      <c r="E146" s="1258"/>
      <c r="F146" s="1298"/>
      <c r="G146" s="186"/>
      <c r="H146" s="1277"/>
      <c r="I146" s="1258"/>
      <c r="J146" s="1298"/>
      <c r="K146" s="175">
        <v>0</v>
      </c>
      <c r="L146" s="1263">
        <v>0</v>
      </c>
      <c r="M146" s="182">
        <v>0</v>
      </c>
      <c r="N146" s="1310" t="e">
        <v>#REF!</v>
      </c>
      <c r="O146" s="182" t="e">
        <v>#REF!</v>
      </c>
      <c r="P146" s="1310" t="e">
        <v>#REF!</v>
      </c>
      <c r="Q146" s="184">
        <f t="shared" si="20"/>
        <v>0</v>
      </c>
      <c r="R146" s="1350" t="e">
        <f t="shared" si="21"/>
        <v>#DIV/0!</v>
      </c>
      <c r="S146" s="184" t="e">
        <f t="shared" si="22"/>
        <v>#REF!</v>
      </c>
      <c r="T146" s="1362" t="e">
        <f>IF('Input Page'!$F$53="Yes",S146/K146,IF('Input Page'!$F$54="Yes",S146/M146,""))</f>
        <v>#REF!</v>
      </c>
      <c r="U146" s="177"/>
      <c r="V146" s="354"/>
      <c r="W146" s="1"/>
      <c r="X146" s="1"/>
      <c r="Y146" s="1"/>
      <c r="Z146" s="51"/>
      <c r="AA146" s="1"/>
      <c r="AB146" s="1"/>
      <c r="AC146" s="1"/>
      <c r="AD146" s="1"/>
      <c r="AE146" s="51"/>
      <c r="AF146" s="1234"/>
      <c r="AG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</row>
    <row r="147" spans="1:62" ht="18" hidden="1">
      <c r="A147" s="183">
        <v>7190</v>
      </c>
      <c r="B147" s="186" t="s">
        <v>517</v>
      </c>
      <c r="C147" s="186"/>
      <c r="D147" s="1277"/>
      <c r="E147" s="1258"/>
      <c r="F147" s="1298"/>
      <c r="G147" s="186"/>
      <c r="H147" s="1277"/>
      <c r="I147" s="1258"/>
      <c r="J147" s="1298"/>
      <c r="K147" s="184">
        <v>0</v>
      </c>
      <c r="L147" s="1303">
        <v>0</v>
      </c>
      <c r="M147" s="185">
        <v>0</v>
      </c>
      <c r="N147" s="1320" t="e">
        <v>#REF!</v>
      </c>
      <c r="O147" s="185" t="e">
        <v>#REF!</v>
      </c>
      <c r="P147" s="1320" t="e">
        <v>#REF!</v>
      </c>
      <c r="Q147" s="184">
        <f t="shared" si="20"/>
        <v>0</v>
      </c>
      <c r="R147" s="1350" t="e">
        <f t="shared" si="21"/>
        <v>#DIV/0!</v>
      </c>
      <c r="S147" s="184" t="e">
        <f t="shared" si="22"/>
        <v>#REF!</v>
      </c>
      <c r="T147" s="1362" t="e">
        <f>IF('Input Page'!$F$53="Yes",S147/K147,IF('Input Page'!$F$54="Yes",S147/M147,""))</f>
        <v>#REF!</v>
      </c>
      <c r="U147" s="177"/>
      <c r="V147" s="354"/>
      <c r="W147" s="1"/>
      <c r="X147" s="1"/>
      <c r="Y147" s="1"/>
      <c r="Z147" s="51"/>
      <c r="AA147" s="1"/>
      <c r="AB147" s="1"/>
      <c r="AC147" s="1"/>
      <c r="AD147" s="1"/>
      <c r="AE147" s="51"/>
      <c r="AF147" s="1234"/>
      <c r="AG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</row>
    <row r="148" spans="1:62" ht="18" hidden="1">
      <c r="A148" s="178"/>
      <c r="B148" s="186"/>
      <c r="C148" s="186"/>
      <c r="D148" s="1277"/>
      <c r="E148" s="1258"/>
      <c r="F148" s="1298"/>
      <c r="G148" s="186"/>
      <c r="H148" s="1277"/>
      <c r="I148" s="1258"/>
      <c r="J148" s="1298"/>
      <c r="K148" s="184">
        <v>0</v>
      </c>
      <c r="L148" s="1303">
        <v>0</v>
      </c>
      <c r="M148" s="185">
        <v>0</v>
      </c>
      <c r="N148" s="1320" t="e">
        <v>#REF!</v>
      </c>
      <c r="O148" s="185" t="e">
        <v>#REF!</v>
      </c>
      <c r="P148" s="1320" t="e">
        <v>#REF!</v>
      </c>
      <c r="Q148" s="184">
        <f t="shared" si="20"/>
        <v>0</v>
      </c>
      <c r="R148" s="1350" t="e">
        <f t="shared" si="21"/>
        <v>#DIV/0!</v>
      </c>
      <c r="S148" s="184" t="e">
        <f t="shared" si="22"/>
        <v>#REF!</v>
      </c>
      <c r="T148" s="1362" t="e">
        <f>IF('Input Page'!$F$53="Yes",S148/K148,IF('Input Page'!$F$54="Yes",S148/M148,""))</f>
        <v>#REF!</v>
      </c>
      <c r="U148" s="177"/>
      <c r="V148" s="354"/>
      <c r="W148" s="1"/>
      <c r="X148" s="1"/>
      <c r="Y148" s="1"/>
      <c r="Z148" s="51"/>
      <c r="AA148" s="1"/>
      <c r="AB148" s="1"/>
      <c r="AC148" s="1"/>
      <c r="AD148" s="1"/>
      <c r="AE148" s="51"/>
      <c r="AF148" s="1234"/>
      <c r="AG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</row>
    <row r="149" spans="1:62" ht="18" hidden="1">
      <c r="A149" s="178"/>
      <c r="B149" s="175"/>
      <c r="C149" s="175"/>
      <c r="D149" s="1263"/>
      <c r="E149" s="1249"/>
      <c r="F149" s="1287"/>
      <c r="G149" s="175"/>
      <c r="H149" s="1263"/>
      <c r="I149" s="1249"/>
      <c r="J149" s="1287"/>
      <c r="K149" s="176"/>
      <c r="L149" s="1268"/>
      <c r="M149" s="182"/>
      <c r="N149" s="1310"/>
      <c r="O149" s="182"/>
      <c r="P149" s="1310"/>
      <c r="Q149" s="184">
        <f t="shared" si="20"/>
        <v>0</v>
      </c>
      <c r="R149" s="1350" t="e">
        <f t="shared" si="21"/>
        <v>#DIV/0!</v>
      </c>
      <c r="S149" s="184">
        <f t="shared" si="22"/>
        <v>0</v>
      </c>
      <c r="T149" s="1362" t="e">
        <f>IF('Input Page'!$F$53="Yes",S149/K149,IF('Input Page'!$F$54="Yes",S149/M149,""))</f>
        <v>#DIV/0!</v>
      </c>
      <c r="U149" s="177"/>
      <c r="V149" s="354"/>
      <c r="W149" s="1"/>
      <c r="X149" s="1"/>
      <c r="Y149" s="1"/>
      <c r="Z149" s="51"/>
      <c r="AA149" s="1"/>
      <c r="AB149" s="1"/>
      <c r="AC149" s="1"/>
      <c r="AD149" s="1"/>
      <c r="AE149" s="51"/>
      <c r="AF149" s="1234"/>
      <c r="AG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</row>
    <row r="150" spans="1:62" ht="18" hidden="1">
      <c r="A150" s="178"/>
      <c r="B150" s="175" t="s">
        <v>518</v>
      </c>
      <c r="C150" s="175"/>
      <c r="D150" s="1263"/>
      <c r="E150" s="1249"/>
      <c r="F150" s="1287"/>
      <c r="G150" s="175"/>
      <c r="H150" s="1263"/>
      <c r="I150" s="1249"/>
      <c r="J150" s="1287"/>
      <c r="K150" s="193">
        <v>1487585.2399999995</v>
      </c>
      <c r="L150" s="1304">
        <v>6886.9687037037011</v>
      </c>
      <c r="M150" s="194">
        <v>362995.79123276687</v>
      </c>
      <c r="N150" s="1321" t="e">
        <v>#REF!</v>
      </c>
      <c r="O150" s="194" t="e">
        <v>#REF!</v>
      </c>
      <c r="P150" s="1321" t="e">
        <v>#REF!</v>
      </c>
      <c r="Q150" s="184">
        <f t="shared" si="20"/>
        <v>-1124589.4487672327</v>
      </c>
      <c r="R150" s="1350">
        <f t="shared" si="21"/>
        <v>-0.75598319916594026</v>
      </c>
      <c r="S150" s="184" t="e">
        <f t="shared" si="22"/>
        <v>#REF!</v>
      </c>
      <c r="T150" s="1362" t="e">
        <f>IF('Input Page'!$F$53="Yes",S150/K150,IF('Input Page'!$F$54="Yes",S150/M150,""))</f>
        <v>#REF!</v>
      </c>
      <c r="U150" s="177"/>
      <c r="V150" s="354"/>
      <c r="W150" s="1"/>
      <c r="X150" s="1"/>
      <c r="Y150" s="1"/>
      <c r="Z150" s="51"/>
      <c r="AA150" s="1"/>
      <c r="AB150" s="1"/>
      <c r="AC150" s="1"/>
      <c r="AD150" s="1"/>
      <c r="AE150" s="51"/>
      <c r="AF150" s="1234"/>
      <c r="AG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</row>
    <row r="151" spans="1:62" ht="18" hidden="1">
      <c r="A151" s="178"/>
      <c r="B151" s="175"/>
      <c r="C151" s="175"/>
      <c r="D151" s="1263"/>
      <c r="E151" s="1249"/>
      <c r="F151" s="1287"/>
      <c r="G151" s="175"/>
      <c r="H151" s="1263"/>
      <c r="I151" s="1249"/>
      <c r="J151" s="1287"/>
      <c r="K151" s="176"/>
      <c r="L151" s="1268"/>
      <c r="M151" s="182"/>
      <c r="N151" s="1310"/>
      <c r="O151" s="182"/>
      <c r="P151" s="1310"/>
      <c r="Q151" s="184">
        <f t="shared" si="20"/>
        <v>0</v>
      </c>
      <c r="R151" s="1350" t="e">
        <f t="shared" si="21"/>
        <v>#DIV/0!</v>
      </c>
      <c r="S151" s="184">
        <f t="shared" si="22"/>
        <v>0</v>
      </c>
      <c r="T151" s="1362" t="e">
        <f>IF('Input Page'!$F$53="Yes",S151/K151,IF('Input Page'!$F$54="Yes",S151/M151,""))</f>
        <v>#DIV/0!</v>
      </c>
      <c r="U151" s="177"/>
      <c r="V151" s="354"/>
      <c r="W151" s="1"/>
      <c r="X151" s="1"/>
      <c r="Y151" s="1"/>
      <c r="Z151" s="51"/>
      <c r="AA151" s="1"/>
      <c r="AB151" s="1"/>
      <c r="AC151" s="1"/>
      <c r="AD151" s="1"/>
      <c r="AE151" s="51"/>
      <c r="AF151" s="1234"/>
      <c r="AG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</row>
    <row r="152" spans="1:62" ht="18" hidden="1">
      <c r="A152" s="178"/>
      <c r="B152" s="175"/>
      <c r="C152" s="175"/>
      <c r="D152" s="1263"/>
      <c r="E152" s="1249"/>
      <c r="F152" s="1287"/>
      <c r="G152" s="175"/>
      <c r="H152" s="1263"/>
      <c r="I152" s="1249"/>
      <c r="J152" s="1287"/>
      <c r="K152" s="176"/>
      <c r="L152" s="1268"/>
      <c r="M152" s="182"/>
      <c r="N152" s="1310"/>
      <c r="O152" s="182"/>
      <c r="P152" s="1310"/>
      <c r="Q152" s="184">
        <f t="shared" si="20"/>
        <v>0</v>
      </c>
      <c r="R152" s="1350" t="e">
        <f t="shared" si="21"/>
        <v>#DIV/0!</v>
      </c>
      <c r="S152" s="184">
        <f t="shared" si="22"/>
        <v>0</v>
      </c>
      <c r="T152" s="1362" t="e">
        <f>IF('Input Page'!$F$53="Yes",S152/K152,IF('Input Page'!$F$54="Yes",S152/M152,""))</f>
        <v>#DIV/0!</v>
      </c>
      <c r="U152" s="177"/>
      <c r="V152" s="354"/>
      <c r="W152" s="1"/>
      <c r="X152" s="1"/>
      <c r="Y152" s="1"/>
      <c r="Z152" s="51"/>
      <c r="AA152" s="1"/>
      <c r="AB152" s="1"/>
      <c r="AC152" s="1"/>
      <c r="AD152" s="1"/>
      <c r="AE152" s="51"/>
      <c r="AF152" s="1234"/>
      <c r="AG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</row>
    <row r="153" spans="1:62" ht="18" hidden="1">
      <c r="A153" s="178"/>
      <c r="B153" s="175"/>
      <c r="C153" s="175"/>
      <c r="D153" s="1263"/>
      <c r="E153" s="1249"/>
      <c r="F153" s="1287"/>
      <c r="G153" s="175"/>
      <c r="H153" s="1263"/>
      <c r="I153" s="1249"/>
      <c r="J153" s="1287"/>
      <c r="K153" s="176"/>
      <c r="L153" s="1268"/>
      <c r="M153" s="182"/>
      <c r="N153" s="1310"/>
      <c r="O153" s="182"/>
      <c r="P153" s="1310"/>
      <c r="Q153" s="184">
        <f t="shared" si="20"/>
        <v>0</v>
      </c>
      <c r="R153" s="1350" t="e">
        <f t="shared" si="21"/>
        <v>#DIV/0!</v>
      </c>
      <c r="S153" s="184">
        <f t="shared" si="22"/>
        <v>0</v>
      </c>
      <c r="T153" s="1362" t="e">
        <f>IF('Input Page'!$F$53="Yes",S153/K153,IF('Input Page'!$F$54="Yes",S153/M153,""))</f>
        <v>#DIV/0!</v>
      </c>
      <c r="U153" s="177"/>
      <c r="V153" s="354"/>
      <c r="W153" s="1"/>
      <c r="X153" s="1"/>
      <c r="Y153" s="1"/>
      <c r="Z153" s="51"/>
      <c r="AA153" s="1"/>
      <c r="AB153" s="1"/>
      <c r="AC153" s="1"/>
      <c r="AD153" s="1"/>
      <c r="AE153" s="51"/>
      <c r="AF153" s="1234"/>
      <c r="AG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</row>
    <row r="154" spans="1:62" ht="18" hidden="1">
      <c r="A154" s="178"/>
      <c r="B154" s="175"/>
      <c r="C154" s="175"/>
      <c r="D154" s="1263"/>
      <c r="E154" s="1249"/>
      <c r="F154" s="1287"/>
      <c r="G154" s="175"/>
      <c r="H154" s="1263"/>
      <c r="I154" s="1249"/>
      <c r="J154" s="1287"/>
      <c r="K154" s="175" t="s">
        <v>650</v>
      </c>
      <c r="L154" s="1263">
        <v>86</v>
      </c>
      <c r="M154" s="182"/>
      <c r="N154" s="1310"/>
      <c r="O154" s="182"/>
      <c r="P154" s="1310"/>
      <c r="Q154" s="184" t="e">
        <f t="shared" si="20"/>
        <v>#VALUE!</v>
      </c>
      <c r="R154" s="1350" t="e">
        <f t="shared" si="21"/>
        <v>#VALUE!</v>
      </c>
      <c r="S154" s="184" t="e">
        <f t="shared" si="22"/>
        <v>#VALUE!</v>
      </c>
      <c r="T154" s="1362" t="e">
        <f>IF('Input Page'!$F$53="Yes",S154/K154,IF('Input Page'!$F$54="Yes",S154/M154,""))</f>
        <v>#VALUE!</v>
      </c>
      <c r="U154" s="177"/>
      <c r="V154" s="354"/>
      <c r="W154" s="1"/>
      <c r="X154" s="1"/>
      <c r="Y154" s="1"/>
      <c r="Z154" s="51"/>
      <c r="AA154" s="1"/>
      <c r="AB154" s="1"/>
      <c r="AC154" s="1"/>
      <c r="AD154" s="1"/>
      <c r="AE154" s="51"/>
      <c r="AF154" s="1234"/>
      <c r="AG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</row>
    <row r="155" spans="1:62" ht="18" hidden="1">
      <c r="A155" s="178"/>
      <c r="B155" s="175"/>
      <c r="C155" s="175"/>
      <c r="D155" s="1263"/>
      <c r="E155" s="1249"/>
      <c r="F155" s="1287"/>
      <c r="G155" s="175"/>
      <c r="H155" s="1263"/>
      <c r="I155" s="1249"/>
      <c r="J155" s="1287"/>
      <c r="K155" s="176"/>
      <c r="L155" s="1268"/>
      <c r="M155" s="182"/>
      <c r="N155" s="1310"/>
      <c r="O155" s="182"/>
      <c r="P155" s="1310"/>
      <c r="Q155" s="184">
        <f t="shared" si="20"/>
        <v>0</v>
      </c>
      <c r="R155" s="1350" t="e">
        <f t="shared" si="21"/>
        <v>#DIV/0!</v>
      </c>
      <c r="S155" s="184">
        <f t="shared" si="22"/>
        <v>0</v>
      </c>
      <c r="T155" s="1362" t="e">
        <f>IF('Input Page'!$F$53="Yes",S155/K155,IF('Input Page'!$F$54="Yes",S155/M155,""))</f>
        <v>#DIV/0!</v>
      </c>
      <c r="U155" s="177"/>
      <c r="V155" s="354"/>
      <c r="W155" s="1"/>
      <c r="X155" s="1"/>
      <c r="Y155" s="1"/>
      <c r="Z155" s="51"/>
      <c r="AA155" s="1"/>
      <c r="AB155" s="1"/>
      <c r="AC155" s="1"/>
      <c r="AD155" s="1"/>
      <c r="AE155" s="51"/>
      <c r="AF155" s="1234"/>
      <c r="AG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</row>
    <row r="156" spans="1:62" ht="18" hidden="1">
      <c r="A156" s="178"/>
      <c r="B156" s="175"/>
      <c r="C156" s="175"/>
      <c r="D156" s="1263"/>
      <c r="E156" s="1249"/>
      <c r="F156" s="1287"/>
      <c r="G156" s="175"/>
      <c r="H156" s="1263"/>
      <c r="I156" s="1249"/>
      <c r="J156" s="1287"/>
      <c r="K156" s="176"/>
      <c r="L156" s="1268"/>
      <c r="M156" s="182"/>
      <c r="N156" s="1310"/>
      <c r="O156" s="182"/>
      <c r="P156" s="1310"/>
      <c r="Q156" s="184">
        <f t="shared" si="20"/>
        <v>0</v>
      </c>
      <c r="R156" s="1350" t="e">
        <f t="shared" si="21"/>
        <v>#DIV/0!</v>
      </c>
      <c r="S156" s="184">
        <f t="shared" si="22"/>
        <v>0</v>
      </c>
      <c r="T156" s="1362" t="e">
        <f>IF('Input Page'!$F$53="Yes",S156/K156,IF('Input Page'!$F$54="Yes",S156/M156,""))</f>
        <v>#DIV/0!</v>
      </c>
      <c r="U156" s="177"/>
      <c r="V156" s="354"/>
      <c r="W156" s="1"/>
      <c r="X156" s="1"/>
      <c r="Y156" s="1"/>
      <c r="Z156" s="51"/>
      <c r="AA156" s="1"/>
      <c r="AB156" s="1"/>
      <c r="AC156" s="1"/>
      <c r="AD156" s="1"/>
      <c r="AE156" s="51"/>
      <c r="AF156" s="1234"/>
      <c r="AG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</row>
    <row r="157" spans="1:62" ht="18" hidden="1">
      <c r="A157" s="178"/>
      <c r="B157" s="175"/>
      <c r="C157" s="175"/>
      <c r="D157" s="1263"/>
      <c r="E157" s="1249"/>
      <c r="F157" s="1287"/>
      <c r="G157" s="175"/>
      <c r="H157" s="1263"/>
      <c r="I157" s="1249"/>
      <c r="J157" s="1287"/>
      <c r="K157" s="176"/>
      <c r="L157" s="1268"/>
      <c r="M157" s="182"/>
      <c r="N157" s="1310"/>
      <c r="O157" s="182"/>
      <c r="P157" s="1310"/>
      <c r="Q157" s="184">
        <f t="shared" si="20"/>
        <v>0</v>
      </c>
      <c r="R157" s="1350" t="e">
        <f t="shared" si="21"/>
        <v>#DIV/0!</v>
      </c>
      <c r="S157" s="184">
        <f t="shared" si="22"/>
        <v>0</v>
      </c>
      <c r="T157" s="1362" t="e">
        <f>IF('Input Page'!$F$53="Yes",S157/K157,IF('Input Page'!$F$54="Yes",S157/M157,""))</f>
        <v>#DIV/0!</v>
      </c>
      <c r="U157" s="177"/>
      <c r="V157" s="354"/>
      <c r="W157" s="1"/>
      <c r="X157" s="1"/>
      <c r="Y157" s="1"/>
      <c r="Z157" s="51"/>
      <c r="AA157" s="1"/>
      <c r="AB157" s="1"/>
      <c r="AC157" s="1"/>
      <c r="AD157" s="1"/>
      <c r="AE157" s="51"/>
      <c r="AF157" s="1234"/>
      <c r="AG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</row>
    <row r="158" spans="1:62" ht="18" hidden="1">
      <c r="A158" s="178"/>
      <c r="B158" s="175"/>
      <c r="C158" s="175"/>
      <c r="D158" s="1263"/>
      <c r="E158" s="1249"/>
      <c r="F158" s="1287"/>
      <c r="G158" s="175"/>
      <c r="H158" s="1263"/>
      <c r="I158" s="1249"/>
      <c r="J158" s="1287"/>
      <c r="K158" s="176"/>
      <c r="L158" s="1268"/>
      <c r="M158" s="182"/>
      <c r="N158" s="1310"/>
      <c r="O158" s="182"/>
      <c r="P158" s="1310"/>
      <c r="Q158" s="184">
        <f t="shared" si="20"/>
        <v>0</v>
      </c>
      <c r="R158" s="1350" t="e">
        <f t="shared" si="21"/>
        <v>#DIV/0!</v>
      </c>
      <c r="S158" s="184">
        <f t="shared" si="22"/>
        <v>0</v>
      </c>
      <c r="T158" s="1362" t="e">
        <f>IF('Input Page'!$F$53="Yes",S158/K158,IF('Input Page'!$F$54="Yes",S158/M158,""))</f>
        <v>#DIV/0!</v>
      </c>
      <c r="U158" s="177"/>
      <c r="V158" s="354"/>
      <c r="W158" s="1"/>
      <c r="X158" s="1"/>
      <c r="Y158" s="1"/>
      <c r="Z158" s="51"/>
      <c r="AA158" s="1"/>
      <c r="AB158" s="1"/>
      <c r="AC158" s="1"/>
      <c r="AD158" s="1"/>
      <c r="AE158" s="51"/>
      <c r="AF158" s="1234"/>
      <c r="AG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</row>
    <row r="159" spans="1:62" ht="18" hidden="1">
      <c r="A159" s="178"/>
      <c r="B159" s="175"/>
      <c r="C159" s="175"/>
      <c r="D159" s="1263"/>
      <c r="E159" s="1249"/>
      <c r="F159" s="1287"/>
      <c r="G159" s="175"/>
      <c r="H159" s="1263"/>
      <c r="I159" s="1249"/>
      <c r="J159" s="1287"/>
      <c r="K159" s="176"/>
      <c r="L159" s="1268"/>
      <c r="M159" s="182"/>
      <c r="N159" s="1310"/>
      <c r="O159" s="182"/>
      <c r="P159" s="1310"/>
      <c r="Q159" s="184">
        <f t="shared" si="20"/>
        <v>0</v>
      </c>
      <c r="R159" s="1350" t="e">
        <f t="shared" si="21"/>
        <v>#DIV/0!</v>
      </c>
      <c r="S159" s="184">
        <f t="shared" si="22"/>
        <v>0</v>
      </c>
      <c r="T159" s="1362" t="e">
        <f>IF('Input Page'!$F$53="Yes",S159/K159,IF('Input Page'!$F$54="Yes",S159/M159,""))</f>
        <v>#DIV/0!</v>
      </c>
      <c r="U159" s="177"/>
      <c r="V159" s="354"/>
      <c r="W159" s="1"/>
      <c r="X159" s="1"/>
      <c r="Y159" s="1"/>
      <c r="Z159" s="51"/>
      <c r="AA159" s="1"/>
      <c r="AB159" s="1"/>
      <c r="AC159" s="1"/>
      <c r="AD159" s="1"/>
      <c r="AE159" s="51"/>
      <c r="AF159" s="1234"/>
      <c r="AG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</row>
    <row r="160" spans="1:62" ht="18" hidden="1">
      <c r="A160" s="178"/>
      <c r="B160" s="175"/>
      <c r="C160" s="175"/>
      <c r="D160" s="1263"/>
      <c r="E160" s="1249"/>
      <c r="F160" s="1287"/>
      <c r="G160" s="175"/>
      <c r="H160" s="1263"/>
      <c r="I160" s="1249"/>
      <c r="J160" s="1287"/>
      <c r="K160" s="176"/>
      <c r="L160" s="1268"/>
      <c r="M160" s="182"/>
      <c r="N160" s="1310"/>
      <c r="O160" s="182"/>
      <c r="P160" s="1310"/>
      <c r="Q160" s="184">
        <f t="shared" si="20"/>
        <v>0</v>
      </c>
      <c r="R160" s="1350" t="e">
        <f t="shared" si="21"/>
        <v>#DIV/0!</v>
      </c>
      <c r="S160" s="184">
        <f t="shared" si="22"/>
        <v>0</v>
      </c>
      <c r="T160" s="1362" t="e">
        <f>IF('Input Page'!$F$53="Yes",S160/K160,IF('Input Page'!$F$54="Yes",S160/M160,""))</f>
        <v>#DIV/0!</v>
      </c>
      <c r="U160" s="177"/>
      <c r="V160" s="354"/>
      <c r="W160" s="1"/>
      <c r="X160" s="1"/>
      <c r="Y160" s="1"/>
      <c r="Z160" s="51"/>
      <c r="AA160" s="1"/>
      <c r="AB160" s="1"/>
      <c r="AC160" s="1"/>
      <c r="AD160" s="1"/>
      <c r="AE160" s="51"/>
      <c r="AF160" s="1234"/>
      <c r="AG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</row>
    <row r="161" spans="1:62" ht="18" hidden="1">
      <c r="A161" s="195"/>
      <c r="B161" s="175" t="e">
        <v>#REF!</v>
      </c>
      <c r="C161" s="175"/>
      <c r="D161" s="1263"/>
      <c r="E161" s="1249"/>
      <c r="F161" s="1287"/>
      <c r="G161" s="175"/>
      <c r="H161" s="1263"/>
      <c r="I161" s="1249"/>
      <c r="J161" s="1287"/>
      <c r="K161" s="176"/>
      <c r="L161" s="1268"/>
      <c r="M161" s="182"/>
      <c r="N161" s="1310"/>
      <c r="O161" s="182"/>
      <c r="P161" s="1310"/>
      <c r="Q161" s="184">
        <f t="shared" si="20"/>
        <v>0</v>
      </c>
      <c r="R161" s="1350" t="e">
        <f t="shared" si="21"/>
        <v>#DIV/0!</v>
      </c>
      <c r="S161" s="184">
        <f t="shared" si="22"/>
        <v>0</v>
      </c>
      <c r="T161" s="1362" t="e">
        <f>IF('Input Page'!$F$53="Yes",S161/K161,IF('Input Page'!$F$54="Yes",S161/M161,""))</f>
        <v>#DIV/0!</v>
      </c>
      <c r="U161" s="177"/>
      <c r="V161" s="354"/>
      <c r="W161" s="1"/>
      <c r="X161" s="1"/>
      <c r="Y161" s="1"/>
      <c r="Z161" s="51"/>
      <c r="AA161" s="1"/>
      <c r="AB161" s="1"/>
      <c r="AC161" s="1"/>
      <c r="AD161" s="1"/>
      <c r="AE161" s="51"/>
      <c r="AF161" s="1234"/>
      <c r="AG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</row>
    <row r="162" spans="1:62" ht="18" hidden="1">
      <c r="A162" s="196"/>
      <c r="B162" s="197"/>
      <c r="C162" s="197"/>
      <c r="D162" s="1278"/>
      <c r="E162" s="1259"/>
      <c r="F162" s="1299"/>
      <c r="G162" s="197"/>
      <c r="H162" s="1278"/>
      <c r="I162" s="1259"/>
      <c r="J162" s="1299"/>
      <c r="K162" s="176"/>
      <c r="L162" s="1268"/>
      <c r="M162" s="182"/>
      <c r="N162" s="1310"/>
      <c r="O162" s="182"/>
      <c r="P162" s="1310"/>
      <c r="Q162" s="184">
        <f t="shared" si="20"/>
        <v>0</v>
      </c>
      <c r="R162" s="1350" t="e">
        <f t="shared" si="21"/>
        <v>#DIV/0!</v>
      </c>
      <c r="S162" s="184">
        <f t="shared" si="22"/>
        <v>0</v>
      </c>
      <c r="T162" s="1362" t="e">
        <f>IF('Input Page'!$F$53="Yes",S162/K162,IF('Input Page'!$F$54="Yes",S162/M162,""))</f>
        <v>#DIV/0!</v>
      </c>
      <c r="U162" s="177"/>
      <c r="V162" s="354"/>
      <c r="W162" s="1"/>
      <c r="X162" s="1"/>
      <c r="Y162" s="1"/>
      <c r="Z162" s="51"/>
      <c r="AA162" s="1"/>
      <c r="AB162" s="1"/>
      <c r="AC162" s="1"/>
      <c r="AD162" s="1"/>
      <c r="AE162" s="51"/>
      <c r="AF162" s="1234"/>
      <c r="AG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</row>
    <row r="163" spans="1:62" ht="18" hidden="1">
      <c r="A163" s="198"/>
      <c r="B163" s="197"/>
      <c r="C163" s="197"/>
      <c r="D163" s="1278"/>
      <c r="E163" s="1259"/>
      <c r="F163" s="1299"/>
      <c r="G163" s="197"/>
      <c r="H163" s="1278"/>
      <c r="I163" s="1259"/>
      <c r="J163" s="1299"/>
      <c r="K163" s="176"/>
      <c r="L163" s="1268"/>
      <c r="M163" s="182"/>
      <c r="N163" s="1310"/>
      <c r="O163" s="182"/>
      <c r="P163" s="1310"/>
      <c r="Q163" s="184">
        <f t="shared" si="20"/>
        <v>0</v>
      </c>
      <c r="R163" s="1350" t="e">
        <f t="shared" si="21"/>
        <v>#DIV/0!</v>
      </c>
      <c r="S163" s="184">
        <f t="shared" si="22"/>
        <v>0</v>
      </c>
      <c r="T163" s="1362" t="e">
        <f>IF('Input Page'!$F$53="Yes",S163/K163,IF('Input Page'!$F$54="Yes",S163/M163,""))</f>
        <v>#DIV/0!</v>
      </c>
      <c r="U163" s="177"/>
      <c r="V163" s="354"/>
      <c r="W163" s="1"/>
      <c r="X163" s="1"/>
      <c r="Y163" s="1"/>
      <c r="Z163" s="51"/>
      <c r="AA163" s="1"/>
      <c r="AB163" s="1"/>
      <c r="AC163" s="1"/>
      <c r="AD163" s="1"/>
      <c r="AE163" s="51"/>
      <c r="AF163" s="1234"/>
      <c r="AG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</row>
    <row r="164" spans="1:62" ht="18" hidden="1">
      <c r="A164" s="178"/>
      <c r="B164" s="199"/>
      <c r="C164" s="199"/>
      <c r="D164" s="1279"/>
      <c r="E164" s="1260"/>
      <c r="F164" s="1300"/>
      <c r="G164" s="199"/>
      <c r="H164" s="1279"/>
      <c r="I164" s="1260"/>
      <c r="J164" s="1300"/>
      <c r="K164" s="176"/>
      <c r="L164" s="1268"/>
      <c r="M164" s="182"/>
      <c r="N164" s="1310"/>
      <c r="O164" s="182"/>
      <c r="P164" s="1310"/>
      <c r="Q164" s="184">
        <f t="shared" si="20"/>
        <v>0</v>
      </c>
      <c r="R164" s="1350" t="e">
        <f t="shared" si="21"/>
        <v>#DIV/0!</v>
      </c>
      <c r="S164" s="184">
        <f t="shared" si="22"/>
        <v>0</v>
      </c>
      <c r="T164" s="1362" t="e">
        <f>IF('Input Page'!$F$53="Yes",S164/K164,IF('Input Page'!$F$54="Yes",S164/M164,""))</f>
        <v>#DIV/0!</v>
      </c>
      <c r="U164" s="177"/>
      <c r="V164" s="354"/>
      <c r="W164" s="1"/>
      <c r="X164" s="1"/>
      <c r="Y164" s="1"/>
      <c r="Z164" s="51"/>
      <c r="AA164" s="1"/>
      <c r="AB164" s="1"/>
      <c r="AC164" s="1"/>
      <c r="AD164" s="1"/>
      <c r="AE164" s="51"/>
      <c r="AF164" s="1234"/>
      <c r="AG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</row>
    <row r="165" spans="1:62" ht="18" hidden="1">
      <c r="A165" s="178"/>
      <c r="B165" s="199"/>
      <c r="C165" s="199"/>
      <c r="D165" s="1279"/>
      <c r="E165" s="1260"/>
      <c r="F165" s="1300"/>
      <c r="G165" s="199"/>
      <c r="H165" s="1279"/>
      <c r="I165" s="1260"/>
      <c r="J165" s="1300"/>
      <c r="K165" s="176"/>
      <c r="L165" s="1268"/>
      <c r="M165" s="182"/>
      <c r="N165" s="1310"/>
      <c r="O165" s="182"/>
      <c r="P165" s="1310"/>
      <c r="Q165" s="184">
        <f t="shared" si="20"/>
        <v>0</v>
      </c>
      <c r="R165" s="1350" t="e">
        <f t="shared" si="21"/>
        <v>#DIV/0!</v>
      </c>
      <c r="S165" s="184">
        <f t="shared" si="22"/>
        <v>0</v>
      </c>
      <c r="T165" s="1362" t="e">
        <f>IF('Input Page'!$F$53="Yes",S165/K165,IF('Input Page'!$F$54="Yes",S165/M165,""))</f>
        <v>#DIV/0!</v>
      </c>
      <c r="U165" s="177"/>
      <c r="V165" s="354"/>
      <c r="W165" s="1"/>
      <c r="X165" s="1"/>
      <c r="Y165" s="1"/>
      <c r="Z165" s="51"/>
      <c r="AA165" s="1"/>
      <c r="AB165" s="1"/>
      <c r="AC165" s="1"/>
      <c r="AD165" s="1"/>
      <c r="AE165" s="51"/>
      <c r="AF165" s="1234"/>
      <c r="AG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</row>
    <row r="166" spans="1:62" ht="18" hidden="1">
      <c r="A166" s="178"/>
      <c r="B166" s="199"/>
      <c r="C166" s="199"/>
      <c r="D166" s="1279"/>
      <c r="E166" s="1260"/>
      <c r="F166" s="1300"/>
      <c r="G166" s="199"/>
      <c r="H166" s="1279"/>
      <c r="I166" s="1260"/>
      <c r="J166" s="1300"/>
      <c r="K166" s="176"/>
      <c r="L166" s="1268"/>
      <c r="M166" s="182"/>
      <c r="N166" s="1310"/>
      <c r="O166" s="182"/>
      <c r="P166" s="1310"/>
      <c r="Q166" s="184">
        <f t="shared" si="20"/>
        <v>0</v>
      </c>
      <c r="R166" s="1350" t="e">
        <f t="shared" si="21"/>
        <v>#DIV/0!</v>
      </c>
      <c r="S166" s="184">
        <f t="shared" si="22"/>
        <v>0</v>
      </c>
      <c r="T166" s="1362" t="e">
        <f>IF('Input Page'!$F$53="Yes",S166/K166,IF('Input Page'!$F$54="Yes",S166/M166,""))</f>
        <v>#DIV/0!</v>
      </c>
      <c r="U166" s="177"/>
      <c r="V166" s="354"/>
      <c r="W166" s="1"/>
      <c r="X166" s="1"/>
      <c r="Y166" s="1"/>
      <c r="Z166" s="51"/>
      <c r="AA166" s="1"/>
      <c r="AB166" s="1"/>
      <c r="AC166" s="1"/>
      <c r="AD166" s="1"/>
      <c r="AE166" s="51"/>
      <c r="AF166" s="1234"/>
      <c r="AG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</row>
    <row r="167" spans="1:62" ht="18" hidden="1">
      <c r="A167" s="178"/>
      <c r="B167" s="199"/>
      <c r="C167" s="199"/>
      <c r="D167" s="1279"/>
      <c r="E167" s="1260"/>
      <c r="F167" s="1300"/>
      <c r="G167" s="199"/>
      <c r="H167" s="1279"/>
      <c r="I167" s="1260"/>
      <c r="J167" s="1300"/>
      <c r="K167" s="176"/>
      <c r="L167" s="1268"/>
      <c r="M167" s="182"/>
      <c r="N167" s="1310"/>
      <c r="O167" s="182"/>
      <c r="P167" s="1310"/>
      <c r="Q167" s="184">
        <f t="shared" si="20"/>
        <v>0</v>
      </c>
      <c r="R167" s="1350" t="e">
        <f t="shared" si="21"/>
        <v>#DIV/0!</v>
      </c>
      <c r="S167" s="184">
        <f t="shared" si="22"/>
        <v>0</v>
      </c>
      <c r="T167" s="1362" t="e">
        <f>IF('Input Page'!$F$53="Yes",S167/K167,IF('Input Page'!$F$54="Yes",S167/M167,""))</f>
        <v>#DIV/0!</v>
      </c>
      <c r="U167" s="177"/>
      <c r="V167" s="354"/>
      <c r="W167" s="1"/>
      <c r="X167" s="1"/>
      <c r="Y167" s="1"/>
      <c r="Z167" s="51"/>
      <c r="AA167" s="1"/>
      <c r="AB167" s="1"/>
      <c r="AC167" s="1"/>
      <c r="AD167" s="1"/>
      <c r="AE167" s="51"/>
      <c r="AF167" s="1234"/>
      <c r="AG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</row>
    <row r="168" spans="1:62" ht="18" hidden="1">
      <c r="A168" s="178"/>
      <c r="B168" s="197"/>
      <c r="C168" s="197"/>
      <c r="D168" s="1278"/>
      <c r="E168" s="1259"/>
      <c r="F168" s="1299"/>
      <c r="G168" s="197"/>
      <c r="H168" s="1278"/>
      <c r="I168" s="1259"/>
      <c r="J168" s="1299"/>
      <c r="K168" s="176"/>
      <c r="L168" s="1268"/>
      <c r="M168" s="182"/>
      <c r="N168" s="1310"/>
      <c r="O168" s="182"/>
      <c r="P168" s="1310"/>
      <c r="Q168" s="184">
        <f t="shared" si="20"/>
        <v>0</v>
      </c>
      <c r="R168" s="1350" t="e">
        <f t="shared" si="21"/>
        <v>#DIV/0!</v>
      </c>
      <c r="S168" s="184">
        <f t="shared" si="22"/>
        <v>0</v>
      </c>
      <c r="T168" s="1362" t="e">
        <f>IF('Input Page'!$F$53="Yes",S168/K168,IF('Input Page'!$F$54="Yes",S168/M168,""))</f>
        <v>#DIV/0!</v>
      </c>
      <c r="U168" s="177"/>
      <c r="V168" s="354"/>
      <c r="W168" s="1"/>
      <c r="X168" s="1"/>
      <c r="Y168" s="1"/>
      <c r="Z168" s="51"/>
      <c r="AA168" s="1"/>
      <c r="AB168" s="1"/>
      <c r="AC168" s="1"/>
      <c r="AD168" s="1"/>
      <c r="AE168" s="51"/>
      <c r="AF168" s="1234"/>
      <c r="AG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</row>
    <row r="169" spans="1:62" ht="18" hidden="1">
      <c r="A169" s="178"/>
      <c r="B169" s="175"/>
      <c r="C169" s="175"/>
      <c r="D169" s="1263"/>
      <c r="E169" s="1249"/>
      <c r="F169" s="1287"/>
      <c r="G169" s="175"/>
      <c r="H169" s="1263"/>
      <c r="I169" s="1249"/>
      <c r="J169" s="1287"/>
      <c r="K169" s="176"/>
      <c r="L169" s="1268"/>
      <c r="M169" s="182"/>
      <c r="N169" s="1310"/>
      <c r="O169" s="182"/>
      <c r="P169" s="1310"/>
      <c r="Q169" s="184">
        <f t="shared" si="20"/>
        <v>0</v>
      </c>
      <c r="R169" s="1350" t="e">
        <f t="shared" si="21"/>
        <v>#DIV/0!</v>
      </c>
      <c r="S169" s="184">
        <f t="shared" si="22"/>
        <v>0</v>
      </c>
      <c r="T169" s="1362" t="e">
        <f>IF('Input Page'!$F$53="Yes",S169/K169,IF('Input Page'!$F$54="Yes",S169/M169,""))</f>
        <v>#DIV/0!</v>
      </c>
      <c r="U169" s="177"/>
      <c r="V169" s="354"/>
      <c r="W169" s="1"/>
      <c r="X169" s="1"/>
      <c r="Y169" s="1"/>
      <c r="Z169" s="51"/>
      <c r="AA169" s="1"/>
      <c r="AB169" s="1"/>
      <c r="AC169" s="1"/>
      <c r="AD169" s="1"/>
      <c r="AE169" s="51"/>
      <c r="AF169" s="1234"/>
      <c r="AG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</row>
    <row r="170" spans="1:62" ht="18" hidden="1">
      <c r="A170" s="178"/>
      <c r="B170" s="175"/>
      <c r="C170" s="175"/>
      <c r="D170" s="1263"/>
      <c r="E170" s="1249"/>
      <c r="F170" s="1287"/>
      <c r="G170" s="175"/>
      <c r="H170" s="1263"/>
      <c r="I170" s="1249"/>
      <c r="J170" s="1287"/>
      <c r="K170" s="176"/>
      <c r="L170" s="1268"/>
      <c r="M170" s="182"/>
      <c r="N170" s="1310"/>
      <c r="O170" s="182"/>
      <c r="P170" s="1310"/>
      <c r="Q170" s="184">
        <f t="shared" si="20"/>
        <v>0</v>
      </c>
      <c r="R170" s="1350" t="e">
        <f t="shared" si="21"/>
        <v>#DIV/0!</v>
      </c>
      <c r="S170" s="184">
        <f t="shared" si="22"/>
        <v>0</v>
      </c>
      <c r="T170" s="1362" t="e">
        <f>IF('Input Page'!$F$53="Yes",S170/K170,IF('Input Page'!$F$54="Yes",S170/M170,""))</f>
        <v>#DIV/0!</v>
      </c>
      <c r="U170" s="177"/>
      <c r="V170" s="354"/>
      <c r="W170" s="1"/>
      <c r="X170" s="1"/>
      <c r="Y170" s="1"/>
      <c r="Z170" s="51"/>
      <c r="AA170" s="1"/>
      <c r="AB170" s="1"/>
      <c r="AC170" s="1"/>
      <c r="AD170" s="1"/>
      <c r="AE170" s="51"/>
      <c r="AF170" s="1234"/>
      <c r="AG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</row>
    <row r="171" spans="1:62" ht="18" hidden="1">
      <c r="A171" s="178"/>
      <c r="B171" s="175"/>
      <c r="C171" s="175"/>
      <c r="D171" s="1263"/>
      <c r="E171" s="1249"/>
      <c r="F171" s="1287"/>
      <c r="G171" s="175"/>
      <c r="H171" s="1263"/>
      <c r="I171" s="1249"/>
      <c r="J171" s="1287"/>
      <c r="K171" s="176"/>
      <c r="L171" s="1268"/>
      <c r="M171" s="182"/>
      <c r="N171" s="1310"/>
      <c r="O171" s="182"/>
      <c r="P171" s="1310"/>
      <c r="Q171" s="184">
        <f t="shared" si="20"/>
        <v>0</v>
      </c>
      <c r="R171" s="1350" t="e">
        <f t="shared" si="21"/>
        <v>#DIV/0!</v>
      </c>
      <c r="S171" s="184">
        <f t="shared" si="22"/>
        <v>0</v>
      </c>
      <c r="T171" s="1362" t="e">
        <f>IF('Input Page'!$F$53="Yes",S171/K171,IF('Input Page'!$F$54="Yes",S171/M171,""))</f>
        <v>#DIV/0!</v>
      </c>
      <c r="U171" s="177"/>
      <c r="V171" s="354"/>
      <c r="W171" s="1"/>
      <c r="X171" s="1"/>
      <c r="Y171" s="1"/>
      <c r="Z171" s="51"/>
      <c r="AA171" s="1"/>
      <c r="AB171" s="1"/>
      <c r="AC171" s="1"/>
      <c r="AD171" s="1"/>
      <c r="AE171" s="51"/>
      <c r="AF171" s="1234"/>
      <c r="AG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</row>
    <row r="172" spans="1:62" ht="18" hidden="1">
      <c r="A172" s="178"/>
      <c r="B172" s="175"/>
      <c r="C172" s="175"/>
      <c r="D172" s="1263"/>
      <c r="E172" s="1249"/>
      <c r="F172" s="1287"/>
      <c r="G172" s="175"/>
      <c r="H172" s="1263"/>
      <c r="I172" s="1249"/>
      <c r="J172" s="1287"/>
      <c r="K172" s="176"/>
      <c r="L172" s="1268"/>
      <c r="M172" s="182"/>
      <c r="N172" s="1310"/>
      <c r="O172" s="182"/>
      <c r="P172" s="1310"/>
      <c r="Q172" s="184">
        <f t="shared" si="20"/>
        <v>0</v>
      </c>
      <c r="R172" s="1350" t="e">
        <f t="shared" si="21"/>
        <v>#DIV/0!</v>
      </c>
      <c r="S172" s="184">
        <f t="shared" si="22"/>
        <v>0</v>
      </c>
      <c r="T172" s="1362" t="e">
        <f>IF('Input Page'!$F$53="Yes",S172/K172,IF('Input Page'!$F$54="Yes",S172/M172,""))</f>
        <v>#DIV/0!</v>
      </c>
      <c r="U172" s="177"/>
      <c r="V172" s="354"/>
      <c r="W172" s="1"/>
      <c r="X172" s="1"/>
      <c r="Y172" s="1"/>
      <c r="Z172" s="51"/>
      <c r="AA172" s="1"/>
      <c r="AB172" s="1"/>
      <c r="AC172" s="1"/>
      <c r="AD172" s="1"/>
      <c r="AE172" s="51"/>
      <c r="AF172" s="1234"/>
      <c r="AG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</row>
    <row r="173" spans="1:62" ht="18" hidden="1">
      <c r="A173" s="178"/>
      <c r="B173" s="175"/>
      <c r="C173" s="175"/>
      <c r="D173" s="1263"/>
      <c r="E173" s="1249"/>
      <c r="F173" s="1287"/>
      <c r="G173" s="175"/>
      <c r="H173" s="1263"/>
      <c r="I173" s="1249"/>
      <c r="J173" s="1287"/>
      <c r="K173" s="176"/>
      <c r="L173" s="1268"/>
      <c r="M173" s="182"/>
      <c r="N173" s="1310"/>
      <c r="O173" s="182"/>
      <c r="P173" s="1310"/>
      <c r="Q173" s="184">
        <f t="shared" si="20"/>
        <v>0</v>
      </c>
      <c r="R173" s="1350" t="e">
        <f t="shared" si="21"/>
        <v>#DIV/0!</v>
      </c>
      <c r="S173" s="184">
        <f t="shared" si="22"/>
        <v>0</v>
      </c>
      <c r="T173" s="1362" t="e">
        <f>IF('Input Page'!$F$53="Yes",S173/K173,IF('Input Page'!$F$54="Yes",S173/M173,""))</f>
        <v>#DIV/0!</v>
      </c>
      <c r="U173" s="177"/>
      <c r="V173" s="354"/>
      <c r="W173" s="1"/>
      <c r="X173" s="1"/>
      <c r="Y173" s="1"/>
      <c r="Z173" s="51"/>
      <c r="AA173" s="1"/>
      <c r="AB173" s="1"/>
      <c r="AC173" s="1"/>
      <c r="AD173" s="1"/>
      <c r="AE173" s="51"/>
      <c r="AF173" s="1234"/>
      <c r="AG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</row>
    <row r="174" spans="1:62" ht="18" hidden="1">
      <c r="A174" s="200" t="e">
        <v>#VALUE!</v>
      </c>
      <c r="B174" s="175"/>
      <c r="C174" s="175"/>
      <c r="D174" s="1263"/>
      <c r="E174" s="1249"/>
      <c r="F174" s="1287"/>
      <c r="G174" s="175"/>
      <c r="H174" s="1263"/>
      <c r="I174" s="1249"/>
      <c r="J174" s="1287"/>
      <c r="K174" s="176"/>
      <c r="L174" s="1268"/>
      <c r="M174" s="182"/>
      <c r="N174" s="1310"/>
      <c r="O174" s="182"/>
      <c r="P174" s="1310"/>
      <c r="Q174" s="184">
        <f t="shared" si="20"/>
        <v>0</v>
      </c>
      <c r="R174" s="1350" t="e">
        <f t="shared" si="21"/>
        <v>#DIV/0!</v>
      </c>
      <c r="S174" s="184">
        <f t="shared" si="22"/>
        <v>0</v>
      </c>
      <c r="T174" s="1362" t="e">
        <f>IF('Input Page'!$F$53="Yes",S174/K174,IF('Input Page'!$F$54="Yes",S174/M174,""))</f>
        <v>#DIV/0!</v>
      </c>
      <c r="U174" s="177"/>
      <c r="V174" s="354"/>
      <c r="W174" s="1"/>
      <c r="X174" s="1"/>
      <c r="Y174" s="1"/>
      <c r="Z174" s="51"/>
      <c r="AA174" s="1"/>
      <c r="AB174" s="1"/>
      <c r="AC174" s="1"/>
      <c r="AD174" s="1"/>
      <c r="AE174" s="51"/>
      <c r="AF174" s="1234"/>
      <c r="AG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</row>
    <row r="175" spans="1:62" ht="18" hidden="1">
      <c r="A175" s="178"/>
      <c r="B175" s="175"/>
      <c r="C175" s="175"/>
      <c r="D175" s="1263"/>
      <c r="E175" s="1249"/>
      <c r="F175" s="1287"/>
      <c r="G175" s="175"/>
      <c r="H175" s="1263"/>
      <c r="I175" s="1249"/>
      <c r="J175" s="1287"/>
      <c r="K175" s="176"/>
      <c r="L175" s="1268"/>
      <c r="M175" s="182"/>
      <c r="N175" s="1310"/>
      <c r="O175" s="182"/>
      <c r="P175" s="1310"/>
      <c r="Q175" s="184">
        <f t="shared" si="20"/>
        <v>0</v>
      </c>
      <c r="R175" s="1350" t="e">
        <f t="shared" si="21"/>
        <v>#DIV/0!</v>
      </c>
      <c r="S175" s="184">
        <f t="shared" si="22"/>
        <v>0</v>
      </c>
      <c r="T175" s="1362" t="e">
        <f>IF('Input Page'!$F$53="Yes",S175/K175,IF('Input Page'!$F$54="Yes",S175/M175,""))</f>
        <v>#DIV/0!</v>
      </c>
      <c r="U175" s="177"/>
      <c r="V175" s="354"/>
      <c r="W175" s="1"/>
      <c r="X175" s="1"/>
      <c r="Y175" s="1"/>
      <c r="Z175" s="51"/>
      <c r="AA175" s="1"/>
      <c r="AB175" s="1"/>
      <c r="AC175" s="1"/>
      <c r="AD175" s="1"/>
      <c r="AE175" s="51"/>
      <c r="AF175" s="1234"/>
      <c r="AG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</row>
    <row r="176" spans="1:62" ht="18" hidden="1">
      <c r="A176" s="178"/>
      <c r="B176" s="175"/>
      <c r="C176" s="175"/>
      <c r="D176" s="1263"/>
      <c r="E176" s="1249"/>
      <c r="F176" s="1287"/>
      <c r="G176" s="175"/>
      <c r="H176" s="1263"/>
      <c r="I176" s="1249"/>
      <c r="J176" s="1287"/>
      <c r="K176" s="176"/>
      <c r="L176" s="1268"/>
      <c r="M176" s="182"/>
      <c r="N176" s="1310"/>
      <c r="O176" s="182"/>
      <c r="P176" s="1310"/>
      <c r="Q176" s="184">
        <f t="shared" si="20"/>
        <v>0</v>
      </c>
      <c r="R176" s="1350" t="e">
        <f t="shared" si="21"/>
        <v>#DIV/0!</v>
      </c>
      <c r="S176" s="184">
        <f t="shared" si="22"/>
        <v>0</v>
      </c>
      <c r="T176" s="1362" t="e">
        <f>IF('Input Page'!$F$53="Yes",S176/K176,IF('Input Page'!$F$54="Yes",S176/M176,""))</f>
        <v>#DIV/0!</v>
      </c>
      <c r="U176" s="177"/>
      <c r="V176" s="354"/>
      <c r="W176" s="1"/>
      <c r="X176" s="1"/>
      <c r="Y176" s="1"/>
      <c r="Z176" s="51"/>
      <c r="AA176" s="1"/>
      <c r="AB176" s="1"/>
      <c r="AC176" s="1"/>
      <c r="AD176" s="1"/>
      <c r="AE176" s="51"/>
      <c r="AF176" s="1234"/>
      <c r="AG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</row>
    <row r="177" spans="1:62" ht="18" hidden="1">
      <c r="A177" s="178"/>
      <c r="B177" s="175"/>
      <c r="C177" s="175"/>
      <c r="D177" s="1263"/>
      <c r="E177" s="1249"/>
      <c r="F177" s="1287"/>
      <c r="G177" s="175"/>
      <c r="H177" s="1263"/>
      <c r="I177" s="1249"/>
      <c r="J177" s="1287"/>
      <c r="K177" s="176"/>
      <c r="L177" s="1268"/>
      <c r="M177" s="182"/>
      <c r="N177" s="1310"/>
      <c r="O177" s="182"/>
      <c r="P177" s="1310"/>
      <c r="Q177" s="184">
        <f t="shared" si="20"/>
        <v>0</v>
      </c>
      <c r="R177" s="1350" t="e">
        <f t="shared" si="21"/>
        <v>#DIV/0!</v>
      </c>
      <c r="S177" s="184">
        <f t="shared" si="22"/>
        <v>0</v>
      </c>
      <c r="T177" s="1362" t="e">
        <f>IF('Input Page'!$F$53="Yes",S177/K177,IF('Input Page'!$F$54="Yes",S177/M177,""))</f>
        <v>#DIV/0!</v>
      </c>
      <c r="U177" s="177"/>
      <c r="V177" s="354"/>
      <c r="W177" s="1"/>
      <c r="X177" s="1"/>
      <c r="Y177" s="1"/>
      <c r="Z177" s="51"/>
      <c r="AA177" s="1"/>
      <c r="AB177" s="1"/>
      <c r="AC177" s="1"/>
      <c r="AD177" s="1"/>
      <c r="AE177" s="51"/>
      <c r="AF177" s="1234"/>
      <c r="AG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</row>
    <row r="178" spans="1:62" ht="18" hidden="1">
      <c r="A178" s="178"/>
      <c r="B178" s="175"/>
      <c r="C178" s="175"/>
      <c r="D178" s="1263"/>
      <c r="E178" s="1249"/>
      <c r="F178" s="1287"/>
      <c r="G178" s="175"/>
      <c r="H178" s="1263"/>
      <c r="I178" s="1249"/>
      <c r="J178" s="1287"/>
      <c r="K178" s="176"/>
      <c r="L178" s="1268"/>
      <c r="M178" s="182"/>
      <c r="N178" s="1310"/>
      <c r="O178" s="182"/>
      <c r="P178" s="1310"/>
      <c r="Q178" s="184">
        <f t="shared" si="20"/>
        <v>0</v>
      </c>
      <c r="R178" s="1350" t="e">
        <f t="shared" si="21"/>
        <v>#DIV/0!</v>
      </c>
      <c r="S178" s="184">
        <f t="shared" si="22"/>
        <v>0</v>
      </c>
      <c r="T178" s="1362" t="e">
        <f>IF('Input Page'!$F$53="Yes",S178/K178,IF('Input Page'!$F$54="Yes",S178/M178,""))</f>
        <v>#DIV/0!</v>
      </c>
      <c r="U178" s="177"/>
      <c r="V178" s="354"/>
      <c r="W178" s="1"/>
      <c r="X178" s="1"/>
      <c r="Y178" s="1"/>
      <c r="Z178" s="51"/>
      <c r="AA178" s="1"/>
      <c r="AB178" s="1"/>
      <c r="AC178" s="1"/>
      <c r="AD178" s="1"/>
      <c r="AE178" s="51"/>
      <c r="AF178" s="1234"/>
      <c r="AG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</row>
    <row r="179" spans="1:62" ht="18" hidden="1">
      <c r="A179" s="178"/>
      <c r="B179" s="175"/>
      <c r="C179" s="175"/>
      <c r="D179" s="1263"/>
      <c r="E179" s="1249"/>
      <c r="F179" s="1287"/>
      <c r="G179" s="175"/>
      <c r="H179" s="1263"/>
      <c r="I179" s="1249"/>
      <c r="J179" s="1287"/>
      <c r="K179" s="176"/>
      <c r="L179" s="1268"/>
      <c r="M179" s="182"/>
      <c r="N179" s="1310"/>
      <c r="O179" s="182"/>
      <c r="P179" s="1310"/>
      <c r="Q179" s="184">
        <f t="shared" si="20"/>
        <v>0</v>
      </c>
      <c r="R179" s="1350" t="e">
        <f t="shared" si="21"/>
        <v>#DIV/0!</v>
      </c>
      <c r="S179" s="184">
        <f t="shared" si="22"/>
        <v>0</v>
      </c>
      <c r="T179" s="1362" t="e">
        <f>IF('Input Page'!$F$53="Yes",S179/K179,IF('Input Page'!$F$54="Yes",S179/M179,""))</f>
        <v>#DIV/0!</v>
      </c>
      <c r="U179" s="177"/>
      <c r="V179" s="354"/>
      <c r="W179" s="1"/>
      <c r="X179" s="1"/>
      <c r="Y179" s="1"/>
      <c r="Z179" s="51"/>
      <c r="AA179" s="1"/>
      <c r="AB179" s="1"/>
      <c r="AC179" s="1"/>
      <c r="AD179" s="1"/>
      <c r="AE179" s="51"/>
      <c r="AF179" s="1234"/>
      <c r="AG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</row>
    <row r="180" spans="1:62" ht="18" hidden="1">
      <c r="A180" s="178"/>
      <c r="B180" s="175"/>
      <c r="C180" s="175"/>
      <c r="D180" s="1263"/>
      <c r="E180" s="1249"/>
      <c r="F180" s="1287"/>
      <c r="G180" s="175"/>
      <c r="H180" s="1263"/>
      <c r="I180" s="1249"/>
      <c r="J180" s="1287"/>
      <c r="K180" s="176"/>
      <c r="L180" s="1268"/>
      <c r="M180" s="182"/>
      <c r="N180" s="1310"/>
      <c r="O180" s="182"/>
      <c r="P180" s="1310"/>
      <c r="Q180" s="184">
        <f t="shared" ref="Q180:Q232" si="23">M180-K180</f>
        <v>0</v>
      </c>
      <c r="R180" s="1350" t="e">
        <f t="shared" ref="R180:R236" si="24">Q180/K180</f>
        <v>#DIV/0!</v>
      </c>
      <c r="S180" s="184">
        <f t="shared" ref="S180:S236" si="25">O180-K180</f>
        <v>0</v>
      </c>
      <c r="T180" s="1362" t="e">
        <f>IF('Input Page'!$F$53="Yes",S180/K180,IF('Input Page'!$F$54="Yes",S180/M180,""))</f>
        <v>#DIV/0!</v>
      </c>
      <c r="U180" s="177"/>
      <c r="V180" s="354"/>
      <c r="W180" s="1"/>
      <c r="X180" s="1"/>
      <c r="Y180" s="1"/>
      <c r="Z180" s="51"/>
      <c r="AA180" s="1"/>
      <c r="AB180" s="1"/>
      <c r="AC180" s="1"/>
      <c r="AD180" s="1"/>
      <c r="AE180" s="51"/>
      <c r="AF180" s="1234"/>
      <c r="AG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</row>
    <row r="181" spans="1:62" ht="18" hidden="1">
      <c r="A181" s="178"/>
      <c r="B181" s="175"/>
      <c r="C181" s="175"/>
      <c r="D181" s="1263"/>
      <c r="E181" s="1249"/>
      <c r="F181" s="1287"/>
      <c r="G181" s="175"/>
      <c r="H181" s="1263"/>
      <c r="I181" s="1249"/>
      <c r="J181" s="1287"/>
      <c r="K181" s="176"/>
      <c r="L181" s="1268"/>
      <c r="M181" s="182"/>
      <c r="N181" s="1310"/>
      <c r="O181" s="182"/>
      <c r="P181" s="1310"/>
      <c r="Q181" s="184">
        <f t="shared" si="23"/>
        <v>0</v>
      </c>
      <c r="R181" s="1350" t="e">
        <f t="shared" si="24"/>
        <v>#DIV/0!</v>
      </c>
      <c r="S181" s="184">
        <f t="shared" si="25"/>
        <v>0</v>
      </c>
      <c r="T181" s="1362" t="e">
        <f>IF('Input Page'!$F$53="Yes",S181/K181,IF('Input Page'!$F$54="Yes",S181/M181,""))</f>
        <v>#DIV/0!</v>
      </c>
      <c r="U181" s="177"/>
      <c r="V181" s="354"/>
      <c r="W181" s="1"/>
      <c r="X181" s="1"/>
      <c r="Y181" s="1"/>
      <c r="Z181" s="51"/>
      <c r="AA181" s="1"/>
      <c r="AB181" s="1"/>
      <c r="AC181" s="1"/>
      <c r="AD181" s="1"/>
      <c r="AE181" s="51"/>
      <c r="AF181" s="1234"/>
      <c r="AG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</row>
    <row r="182" spans="1:62" ht="18" hidden="1">
      <c r="A182" s="178"/>
      <c r="B182" s="175"/>
      <c r="C182" s="175"/>
      <c r="D182" s="1263"/>
      <c r="E182" s="1249"/>
      <c r="F182" s="1287"/>
      <c r="G182" s="175"/>
      <c r="H182" s="1263"/>
      <c r="I182" s="1249"/>
      <c r="J182" s="1287"/>
      <c r="K182" s="176"/>
      <c r="L182" s="1268"/>
      <c r="M182" s="182"/>
      <c r="N182" s="1310"/>
      <c r="O182" s="182"/>
      <c r="P182" s="1310"/>
      <c r="Q182" s="184">
        <f t="shared" si="23"/>
        <v>0</v>
      </c>
      <c r="R182" s="1350" t="e">
        <f t="shared" si="24"/>
        <v>#DIV/0!</v>
      </c>
      <c r="S182" s="184">
        <f t="shared" si="25"/>
        <v>0</v>
      </c>
      <c r="T182" s="1362" t="e">
        <f>IF('Input Page'!$F$53="Yes",S182/K182,IF('Input Page'!$F$54="Yes",S182/M182,""))</f>
        <v>#DIV/0!</v>
      </c>
      <c r="U182" s="177"/>
      <c r="V182" s="354"/>
      <c r="W182" s="1"/>
      <c r="X182" s="1"/>
      <c r="Y182" s="1"/>
      <c r="Z182" s="51"/>
      <c r="AA182" s="1"/>
      <c r="AB182" s="1"/>
      <c r="AC182" s="1"/>
      <c r="AD182" s="1"/>
      <c r="AE182" s="51"/>
      <c r="AF182" s="1234"/>
      <c r="AG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</row>
    <row r="183" spans="1:62" ht="18" hidden="1">
      <c r="A183" s="178" t="s">
        <v>651</v>
      </c>
      <c r="B183" s="175">
        <v>3</v>
      </c>
      <c r="C183" s="175"/>
      <c r="D183" s="1263"/>
      <c r="E183" s="1249"/>
      <c r="F183" s="1287"/>
      <c r="G183" s="175"/>
      <c r="H183" s="1263"/>
      <c r="I183" s="1249"/>
      <c r="J183" s="1287"/>
      <c r="K183" s="176"/>
      <c r="L183" s="1268"/>
      <c r="M183" s="182"/>
      <c r="N183" s="1310"/>
      <c r="O183" s="182"/>
      <c r="P183" s="1310"/>
      <c r="Q183" s="184">
        <f t="shared" si="23"/>
        <v>0</v>
      </c>
      <c r="R183" s="1350" t="e">
        <f t="shared" si="24"/>
        <v>#DIV/0!</v>
      </c>
      <c r="S183" s="184">
        <f t="shared" si="25"/>
        <v>0</v>
      </c>
      <c r="T183" s="1362" t="e">
        <f>IF('Input Page'!$F$53="Yes",S183/K183,IF('Input Page'!$F$54="Yes",S183/M183,""))</f>
        <v>#DIV/0!</v>
      </c>
      <c r="U183" s="177"/>
      <c r="V183" s="354"/>
      <c r="W183" s="1"/>
      <c r="X183" s="1"/>
      <c r="Y183" s="1"/>
      <c r="Z183" s="51"/>
      <c r="AA183" s="1"/>
      <c r="AB183" s="1"/>
      <c r="AC183" s="1"/>
      <c r="AD183" s="1"/>
      <c r="AE183" s="51"/>
      <c r="AF183" s="1234"/>
      <c r="AG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</row>
    <row r="184" spans="1:62" ht="18" hidden="1">
      <c r="A184" s="178" t="s">
        <v>652</v>
      </c>
      <c r="B184" s="175">
        <v>4</v>
      </c>
      <c r="C184" s="175"/>
      <c r="D184" s="1263"/>
      <c r="E184" s="1249"/>
      <c r="F184" s="1287"/>
      <c r="G184" s="175"/>
      <c r="H184" s="1263"/>
      <c r="I184" s="1249"/>
      <c r="J184" s="1287"/>
      <c r="K184" s="176"/>
      <c r="L184" s="1268"/>
      <c r="M184" s="182"/>
      <c r="N184" s="1310"/>
      <c r="O184" s="182"/>
      <c r="P184" s="1310"/>
      <c r="Q184" s="184">
        <f t="shared" si="23"/>
        <v>0</v>
      </c>
      <c r="R184" s="1350" t="e">
        <f t="shared" si="24"/>
        <v>#DIV/0!</v>
      </c>
      <c r="S184" s="184">
        <f t="shared" si="25"/>
        <v>0</v>
      </c>
      <c r="T184" s="1362" t="e">
        <f>IF('Input Page'!$F$53="Yes",S184/K184,IF('Input Page'!$F$54="Yes",S184/M184,""))</f>
        <v>#DIV/0!</v>
      </c>
      <c r="U184" s="177"/>
      <c r="V184" s="354"/>
      <c r="W184" s="1"/>
      <c r="X184" s="1"/>
      <c r="Y184" s="1"/>
      <c r="Z184" s="51"/>
      <c r="AA184" s="1"/>
      <c r="AB184" s="1"/>
      <c r="AC184" s="1"/>
      <c r="AD184" s="1"/>
      <c r="AE184" s="51"/>
      <c r="AF184" s="1234"/>
      <c r="AG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</row>
    <row r="185" spans="1:62" ht="18" hidden="1">
      <c r="A185" s="178" t="s">
        <v>653</v>
      </c>
      <c r="B185" s="175">
        <v>5</v>
      </c>
      <c r="C185" s="175"/>
      <c r="D185" s="1263"/>
      <c r="E185" s="1249"/>
      <c r="F185" s="1287"/>
      <c r="G185" s="175"/>
      <c r="H185" s="1263"/>
      <c r="I185" s="1249"/>
      <c r="J185" s="1287"/>
      <c r="K185" s="176"/>
      <c r="L185" s="1268"/>
      <c r="M185" s="182"/>
      <c r="N185" s="1310"/>
      <c r="O185" s="182"/>
      <c r="P185" s="1310"/>
      <c r="Q185" s="184">
        <f t="shared" si="23"/>
        <v>0</v>
      </c>
      <c r="R185" s="1350" t="e">
        <f t="shared" si="24"/>
        <v>#DIV/0!</v>
      </c>
      <c r="S185" s="184">
        <f t="shared" si="25"/>
        <v>0</v>
      </c>
      <c r="T185" s="1362" t="e">
        <f>IF('Input Page'!$F$53="Yes",S185/K185,IF('Input Page'!$F$54="Yes",S185/M185,""))</f>
        <v>#DIV/0!</v>
      </c>
      <c r="U185" s="177"/>
      <c r="V185" s="354"/>
      <c r="W185" s="1"/>
      <c r="X185" s="1"/>
      <c r="Y185" s="1"/>
      <c r="Z185" s="51"/>
      <c r="AA185" s="1"/>
      <c r="AB185" s="1"/>
      <c r="AC185" s="1"/>
      <c r="AD185" s="1"/>
      <c r="AE185" s="51"/>
      <c r="AF185" s="1234"/>
      <c r="AG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</row>
    <row r="186" spans="1:62" ht="18" hidden="1">
      <c r="A186" s="178" t="s">
        <v>654</v>
      </c>
      <c r="B186" s="175">
        <v>6</v>
      </c>
      <c r="C186" s="175"/>
      <c r="D186" s="1263"/>
      <c r="E186" s="1249"/>
      <c r="F186" s="1287"/>
      <c r="G186" s="175"/>
      <c r="H186" s="1263"/>
      <c r="I186" s="1249"/>
      <c r="J186" s="1287"/>
      <c r="K186" s="176"/>
      <c r="L186" s="1268"/>
      <c r="M186" s="182"/>
      <c r="N186" s="1310"/>
      <c r="O186" s="182"/>
      <c r="P186" s="1310"/>
      <c r="Q186" s="184">
        <f t="shared" si="23"/>
        <v>0</v>
      </c>
      <c r="R186" s="1350" t="e">
        <f t="shared" si="24"/>
        <v>#DIV/0!</v>
      </c>
      <c r="S186" s="184">
        <f t="shared" si="25"/>
        <v>0</v>
      </c>
      <c r="T186" s="1362" t="e">
        <f>IF('Input Page'!$F$53="Yes",S186/K186,IF('Input Page'!$F$54="Yes",S186/M186,""))</f>
        <v>#DIV/0!</v>
      </c>
      <c r="U186" s="177"/>
      <c r="V186" s="354"/>
      <c r="W186" s="1"/>
      <c r="X186" s="1"/>
      <c r="Y186" s="1"/>
      <c r="Z186" s="51"/>
      <c r="AA186" s="1"/>
      <c r="AB186" s="1"/>
      <c r="AC186" s="1"/>
      <c r="AD186" s="1"/>
      <c r="AE186" s="51"/>
      <c r="AF186" s="1234"/>
      <c r="AG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</row>
    <row r="187" spans="1:62" ht="18" hidden="1">
      <c r="A187" s="178" t="s">
        <v>655</v>
      </c>
      <c r="B187" s="175">
        <v>7</v>
      </c>
      <c r="C187" s="175"/>
      <c r="D187" s="1263"/>
      <c r="E187" s="1249"/>
      <c r="F187" s="1287"/>
      <c r="G187" s="175"/>
      <c r="H187" s="1263"/>
      <c r="I187" s="1249"/>
      <c r="J187" s="1287"/>
      <c r="K187" s="176"/>
      <c r="L187" s="1268"/>
      <c r="M187" s="182"/>
      <c r="N187" s="1310"/>
      <c r="O187" s="182"/>
      <c r="P187" s="1310"/>
      <c r="Q187" s="184">
        <f t="shared" si="23"/>
        <v>0</v>
      </c>
      <c r="R187" s="1350" t="e">
        <f t="shared" si="24"/>
        <v>#DIV/0!</v>
      </c>
      <c r="S187" s="184">
        <f t="shared" si="25"/>
        <v>0</v>
      </c>
      <c r="T187" s="1362" t="e">
        <f>IF('Input Page'!$F$53="Yes",S187/K187,IF('Input Page'!$F$54="Yes",S187/M187,""))</f>
        <v>#DIV/0!</v>
      </c>
      <c r="U187" s="177"/>
      <c r="V187" s="354"/>
      <c r="W187" s="1"/>
      <c r="X187" s="1"/>
      <c r="Y187" s="1"/>
      <c r="Z187" s="51"/>
      <c r="AA187" s="1"/>
      <c r="AB187" s="1"/>
      <c r="AC187" s="1"/>
      <c r="AD187" s="1"/>
      <c r="AE187" s="51"/>
      <c r="AF187" s="1234"/>
      <c r="AG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</row>
    <row r="188" spans="1:62" ht="18" hidden="1">
      <c r="A188" s="178" t="s">
        <v>656</v>
      </c>
      <c r="B188" s="175">
        <v>8</v>
      </c>
      <c r="C188" s="175"/>
      <c r="D188" s="1263"/>
      <c r="E188" s="1249"/>
      <c r="F188" s="1287"/>
      <c r="G188" s="175"/>
      <c r="H188" s="1263"/>
      <c r="I188" s="1249"/>
      <c r="J188" s="1287"/>
      <c r="K188" s="176"/>
      <c r="L188" s="1268"/>
      <c r="M188" s="182"/>
      <c r="N188" s="1310"/>
      <c r="O188" s="182"/>
      <c r="P188" s="1310"/>
      <c r="Q188" s="184">
        <f t="shared" si="23"/>
        <v>0</v>
      </c>
      <c r="R188" s="1350" t="e">
        <f t="shared" si="24"/>
        <v>#DIV/0!</v>
      </c>
      <c r="S188" s="184">
        <f t="shared" si="25"/>
        <v>0</v>
      </c>
      <c r="T188" s="1362" t="e">
        <f>IF('Input Page'!$F$53="Yes",S188/K188,IF('Input Page'!$F$54="Yes",S188/M188,""))</f>
        <v>#DIV/0!</v>
      </c>
      <c r="U188" s="177"/>
      <c r="V188" s="354"/>
      <c r="W188" s="1"/>
      <c r="X188" s="1"/>
      <c r="Y188" s="1"/>
      <c r="Z188" s="51"/>
      <c r="AA188" s="1"/>
      <c r="AB188" s="1"/>
      <c r="AC188" s="1"/>
      <c r="AD188" s="1"/>
      <c r="AE188" s="51"/>
      <c r="AF188" s="1234"/>
      <c r="AG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</row>
    <row r="189" spans="1:62" ht="18" hidden="1">
      <c r="A189" s="178" t="s">
        <v>657</v>
      </c>
      <c r="B189" s="175">
        <v>9</v>
      </c>
      <c r="C189" s="175"/>
      <c r="D189" s="1263"/>
      <c r="E189" s="1249"/>
      <c r="F189" s="1287"/>
      <c r="G189" s="175"/>
      <c r="H189" s="1263"/>
      <c r="I189" s="1249"/>
      <c r="J189" s="1287"/>
      <c r="K189" s="176"/>
      <c r="L189" s="1268"/>
      <c r="M189" s="182"/>
      <c r="N189" s="1310"/>
      <c r="O189" s="182"/>
      <c r="P189" s="1310"/>
      <c r="Q189" s="184">
        <f t="shared" si="23"/>
        <v>0</v>
      </c>
      <c r="R189" s="1350" t="e">
        <f t="shared" si="24"/>
        <v>#DIV/0!</v>
      </c>
      <c r="S189" s="184">
        <f t="shared" si="25"/>
        <v>0</v>
      </c>
      <c r="T189" s="1362" t="e">
        <f>IF('Input Page'!$F$53="Yes",S189/K189,IF('Input Page'!$F$54="Yes",S189/M189,""))</f>
        <v>#DIV/0!</v>
      </c>
      <c r="U189" s="177"/>
      <c r="V189" s="354"/>
      <c r="W189" s="1"/>
      <c r="X189" s="1"/>
      <c r="Y189" s="1"/>
      <c r="Z189" s="51"/>
      <c r="AA189" s="1"/>
      <c r="AB189" s="1"/>
      <c r="AC189" s="1"/>
      <c r="AD189" s="1"/>
      <c r="AE189" s="51"/>
      <c r="AF189" s="1234"/>
      <c r="AG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</row>
    <row r="190" spans="1:62" ht="18" hidden="1">
      <c r="A190" s="178" t="s">
        <v>658</v>
      </c>
      <c r="B190" s="175">
        <v>10</v>
      </c>
      <c r="C190" s="175"/>
      <c r="D190" s="1263"/>
      <c r="E190" s="1249"/>
      <c r="F190" s="1287"/>
      <c r="G190" s="175"/>
      <c r="H190" s="1263"/>
      <c r="I190" s="1249"/>
      <c r="J190" s="1287"/>
      <c r="K190" s="176"/>
      <c r="L190" s="1268"/>
      <c r="M190" s="182"/>
      <c r="N190" s="1310"/>
      <c r="O190" s="182"/>
      <c r="P190" s="1310"/>
      <c r="Q190" s="184">
        <f t="shared" si="23"/>
        <v>0</v>
      </c>
      <c r="R190" s="1350" t="e">
        <f t="shared" si="24"/>
        <v>#DIV/0!</v>
      </c>
      <c r="S190" s="184">
        <f t="shared" si="25"/>
        <v>0</v>
      </c>
      <c r="T190" s="1362" t="e">
        <f>IF('Input Page'!$F$53="Yes",S190/K190,IF('Input Page'!$F$54="Yes",S190/M190,""))</f>
        <v>#DIV/0!</v>
      </c>
      <c r="U190" s="177"/>
      <c r="V190" s="354"/>
      <c r="W190" s="1"/>
      <c r="X190" s="1"/>
      <c r="Y190" s="1"/>
      <c r="Z190" s="51"/>
      <c r="AA190" s="1"/>
      <c r="AB190" s="1"/>
      <c r="AC190" s="1"/>
      <c r="AD190" s="1"/>
      <c r="AE190" s="51"/>
      <c r="AF190" s="1234"/>
      <c r="AG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</row>
    <row r="191" spans="1:62" ht="18" hidden="1">
      <c r="A191" s="178" t="s">
        <v>659</v>
      </c>
      <c r="B191" s="175">
        <v>11</v>
      </c>
      <c r="C191" s="175"/>
      <c r="D191" s="1263"/>
      <c r="E191" s="1249"/>
      <c r="F191" s="1287"/>
      <c r="G191" s="175"/>
      <c r="H191" s="1263"/>
      <c r="I191" s="1249"/>
      <c r="J191" s="1287"/>
      <c r="K191" s="176"/>
      <c r="L191" s="1268"/>
      <c r="M191" s="182"/>
      <c r="N191" s="1310"/>
      <c r="O191" s="182"/>
      <c r="P191" s="1310"/>
      <c r="Q191" s="184">
        <f t="shared" si="23"/>
        <v>0</v>
      </c>
      <c r="R191" s="1350" t="e">
        <f t="shared" si="24"/>
        <v>#DIV/0!</v>
      </c>
      <c r="S191" s="184">
        <f t="shared" si="25"/>
        <v>0</v>
      </c>
      <c r="T191" s="1362" t="e">
        <f>IF('Input Page'!$F$53="Yes",S191/K191,IF('Input Page'!$F$54="Yes",S191/M191,""))</f>
        <v>#DIV/0!</v>
      </c>
      <c r="U191" s="177"/>
      <c r="V191" s="354"/>
      <c r="W191" s="1"/>
      <c r="X191" s="1"/>
      <c r="Y191" s="1"/>
      <c r="Z191" s="51"/>
      <c r="AA191" s="1"/>
      <c r="AB191" s="1"/>
      <c r="AC191" s="1"/>
      <c r="AD191" s="1"/>
      <c r="AE191" s="51"/>
      <c r="AF191" s="1234"/>
      <c r="AG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</row>
    <row r="192" spans="1:62" ht="18" hidden="1">
      <c r="A192" s="178" t="s">
        <v>660</v>
      </c>
      <c r="B192" s="175">
        <v>12</v>
      </c>
      <c r="C192" s="175"/>
      <c r="D192" s="1263"/>
      <c r="E192" s="1249"/>
      <c r="F192" s="1287"/>
      <c r="G192" s="175"/>
      <c r="H192" s="1263"/>
      <c r="I192" s="1249"/>
      <c r="J192" s="1287"/>
      <c r="K192" s="176"/>
      <c r="L192" s="1268"/>
      <c r="M192" s="182"/>
      <c r="N192" s="1310"/>
      <c r="O192" s="182"/>
      <c r="P192" s="1310"/>
      <c r="Q192" s="184">
        <f t="shared" si="23"/>
        <v>0</v>
      </c>
      <c r="R192" s="1350" t="e">
        <f t="shared" si="24"/>
        <v>#DIV/0!</v>
      </c>
      <c r="S192" s="184">
        <f t="shared" si="25"/>
        <v>0</v>
      </c>
      <c r="T192" s="1362" t="e">
        <f>IF('Input Page'!$F$53="Yes",S192/K192,IF('Input Page'!$F$54="Yes",S192/M192,""))</f>
        <v>#DIV/0!</v>
      </c>
      <c r="U192" s="177"/>
      <c r="V192" s="354"/>
      <c r="W192" s="1"/>
      <c r="X192" s="1"/>
      <c r="Y192" s="1"/>
      <c r="Z192" s="51"/>
      <c r="AA192" s="1"/>
      <c r="AB192" s="1"/>
      <c r="AC192" s="1"/>
      <c r="AD192" s="1"/>
      <c r="AE192" s="51"/>
      <c r="AF192" s="1234"/>
      <c r="AG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</row>
    <row r="193" spans="1:62" ht="18" hidden="1">
      <c r="A193" s="178" t="s">
        <v>661</v>
      </c>
      <c r="B193" s="175">
        <v>13</v>
      </c>
      <c r="C193" s="175"/>
      <c r="D193" s="1263"/>
      <c r="E193" s="1249"/>
      <c r="F193" s="1287"/>
      <c r="G193" s="175"/>
      <c r="H193" s="1263"/>
      <c r="I193" s="1249"/>
      <c r="J193" s="1287"/>
      <c r="K193" s="176"/>
      <c r="L193" s="1268"/>
      <c r="M193" s="182"/>
      <c r="N193" s="1310"/>
      <c r="O193" s="182"/>
      <c r="P193" s="1310"/>
      <c r="Q193" s="184">
        <f t="shared" si="23"/>
        <v>0</v>
      </c>
      <c r="R193" s="1350" t="e">
        <f t="shared" si="24"/>
        <v>#DIV/0!</v>
      </c>
      <c r="S193" s="184">
        <f t="shared" si="25"/>
        <v>0</v>
      </c>
      <c r="T193" s="1362" t="e">
        <f>IF('Input Page'!$F$53="Yes",S193/K193,IF('Input Page'!$F$54="Yes",S193/M193,""))</f>
        <v>#DIV/0!</v>
      </c>
      <c r="U193" s="177"/>
      <c r="V193" s="354"/>
      <c r="W193" s="1"/>
      <c r="X193" s="1"/>
      <c r="Y193" s="1"/>
      <c r="Z193" s="51"/>
      <c r="AA193" s="1"/>
      <c r="AB193" s="1"/>
      <c r="AC193" s="1"/>
      <c r="AD193" s="1"/>
      <c r="AE193" s="51"/>
      <c r="AF193" s="1234"/>
      <c r="AG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</row>
    <row r="194" spans="1:62" ht="18" hidden="1">
      <c r="A194" s="178" t="s">
        <v>662</v>
      </c>
      <c r="B194" s="175">
        <v>14</v>
      </c>
      <c r="C194" s="175"/>
      <c r="D194" s="1263"/>
      <c r="E194" s="1249"/>
      <c r="F194" s="1287"/>
      <c r="G194" s="175"/>
      <c r="H194" s="1263"/>
      <c r="I194" s="1249"/>
      <c r="J194" s="1287"/>
      <c r="K194" s="176"/>
      <c r="L194" s="1268"/>
      <c r="M194" s="182"/>
      <c r="N194" s="1310"/>
      <c r="O194" s="182"/>
      <c r="P194" s="1310"/>
      <c r="Q194" s="184">
        <f t="shared" si="23"/>
        <v>0</v>
      </c>
      <c r="R194" s="1350" t="e">
        <f t="shared" si="24"/>
        <v>#DIV/0!</v>
      </c>
      <c r="S194" s="184">
        <f t="shared" si="25"/>
        <v>0</v>
      </c>
      <c r="T194" s="1362" t="e">
        <f>IF('Input Page'!$F$53="Yes",S194/K194,IF('Input Page'!$F$54="Yes",S194/M194,""))</f>
        <v>#DIV/0!</v>
      </c>
      <c r="U194" s="177"/>
      <c r="V194" s="354"/>
      <c r="W194" s="1"/>
      <c r="X194" s="1"/>
      <c r="Y194" s="1"/>
      <c r="Z194" s="51"/>
      <c r="AA194" s="1"/>
      <c r="AB194" s="1"/>
      <c r="AC194" s="1"/>
      <c r="AD194" s="1"/>
      <c r="AE194" s="51"/>
      <c r="AF194" s="1234"/>
      <c r="AG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</row>
    <row r="195" spans="1:62" ht="18" hidden="1">
      <c r="A195" s="178" t="s">
        <v>663</v>
      </c>
      <c r="B195" s="175">
        <v>15</v>
      </c>
      <c r="C195" s="175"/>
      <c r="D195" s="1263"/>
      <c r="E195" s="1249"/>
      <c r="F195" s="1287"/>
      <c r="G195" s="175"/>
      <c r="H195" s="1263"/>
      <c r="I195" s="1249"/>
      <c r="J195" s="1287"/>
      <c r="K195" s="176"/>
      <c r="L195" s="1268"/>
      <c r="M195" s="182"/>
      <c r="N195" s="1310"/>
      <c r="O195" s="182"/>
      <c r="P195" s="1310"/>
      <c r="Q195" s="184">
        <f t="shared" si="23"/>
        <v>0</v>
      </c>
      <c r="R195" s="1350" t="e">
        <f t="shared" si="24"/>
        <v>#DIV/0!</v>
      </c>
      <c r="S195" s="184">
        <f t="shared" si="25"/>
        <v>0</v>
      </c>
      <c r="T195" s="1362" t="e">
        <f>IF('Input Page'!$F$53="Yes",S195/K195,IF('Input Page'!$F$54="Yes",S195/M195,""))</f>
        <v>#DIV/0!</v>
      </c>
      <c r="U195" s="177"/>
      <c r="V195" s="354"/>
      <c r="W195" s="1"/>
      <c r="X195" s="1"/>
      <c r="Y195" s="1"/>
      <c r="Z195" s="51"/>
      <c r="AA195" s="1"/>
      <c r="AB195" s="1"/>
      <c r="AC195" s="1"/>
      <c r="AD195" s="1"/>
      <c r="AE195" s="51"/>
      <c r="AF195" s="1234"/>
      <c r="AG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</row>
    <row r="196" spans="1:62" ht="18" hidden="1">
      <c r="A196" s="178" t="s">
        <v>664</v>
      </c>
      <c r="B196" s="175">
        <v>16</v>
      </c>
      <c r="C196" s="175"/>
      <c r="D196" s="1263"/>
      <c r="E196" s="1249"/>
      <c r="F196" s="1287"/>
      <c r="G196" s="175"/>
      <c r="H196" s="1263"/>
      <c r="I196" s="1249"/>
      <c r="J196" s="1287"/>
      <c r="K196" s="176"/>
      <c r="L196" s="1268"/>
      <c r="M196" s="182"/>
      <c r="N196" s="1310"/>
      <c r="O196" s="182"/>
      <c r="P196" s="1310"/>
      <c r="Q196" s="184">
        <f t="shared" si="23"/>
        <v>0</v>
      </c>
      <c r="R196" s="1350" t="e">
        <f t="shared" si="24"/>
        <v>#DIV/0!</v>
      </c>
      <c r="S196" s="184">
        <f t="shared" si="25"/>
        <v>0</v>
      </c>
      <c r="T196" s="1362" t="e">
        <f>IF('Input Page'!$F$53="Yes",S196/K196,IF('Input Page'!$F$54="Yes",S196/M196,""))</f>
        <v>#DIV/0!</v>
      </c>
      <c r="U196" s="177"/>
      <c r="V196" s="354"/>
      <c r="W196" s="1"/>
      <c r="X196" s="1"/>
      <c r="Y196" s="1"/>
      <c r="Z196" s="51"/>
      <c r="AA196" s="1"/>
      <c r="AB196" s="1"/>
      <c r="AC196" s="1"/>
      <c r="AD196" s="1"/>
      <c r="AE196" s="51"/>
      <c r="AF196" s="1234"/>
      <c r="AG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</row>
    <row r="197" spans="1:62" ht="18" hidden="1">
      <c r="A197" s="178"/>
      <c r="B197" s="175"/>
      <c r="C197" s="175"/>
      <c r="D197" s="1263"/>
      <c r="E197" s="1249"/>
      <c r="F197" s="1287"/>
      <c r="G197" s="175"/>
      <c r="H197" s="1263"/>
      <c r="I197" s="1249"/>
      <c r="J197" s="1287"/>
      <c r="K197" s="176"/>
      <c r="L197" s="1268"/>
      <c r="M197" s="182"/>
      <c r="N197" s="1310"/>
      <c r="O197" s="182"/>
      <c r="P197" s="1310"/>
      <c r="Q197" s="184">
        <f t="shared" si="23"/>
        <v>0</v>
      </c>
      <c r="R197" s="1350" t="e">
        <f t="shared" si="24"/>
        <v>#DIV/0!</v>
      </c>
      <c r="S197" s="184">
        <f t="shared" si="25"/>
        <v>0</v>
      </c>
      <c r="T197" s="1362" t="e">
        <f>IF('Input Page'!$F$53="Yes",S197/K197,IF('Input Page'!$F$54="Yes",S197/M197,""))</f>
        <v>#DIV/0!</v>
      </c>
      <c r="U197" s="177"/>
      <c r="V197" s="354"/>
      <c r="W197" s="1"/>
      <c r="X197" s="1"/>
      <c r="Y197" s="1"/>
      <c r="Z197" s="51"/>
      <c r="AA197" s="1"/>
      <c r="AB197" s="1"/>
      <c r="AC197" s="1"/>
      <c r="AD197" s="1"/>
      <c r="AE197" s="51"/>
      <c r="AF197" s="1234"/>
      <c r="AG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</row>
    <row r="198" spans="1:62" ht="18" hidden="1">
      <c r="A198" s="178"/>
      <c r="B198" s="175"/>
      <c r="C198" s="175"/>
      <c r="D198" s="1263"/>
      <c r="E198" s="1249"/>
      <c r="F198" s="1287"/>
      <c r="G198" s="175"/>
      <c r="H198" s="1263"/>
      <c r="I198" s="1249"/>
      <c r="J198" s="1287"/>
      <c r="K198" s="176"/>
      <c r="L198" s="1268"/>
      <c r="M198" s="182"/>
      <c r="N198" s="1310"/>
      <c r="O198" s="182"/>
      <c r="P198" s="1310"/>
      <c r="Q198" s="184">
        <f t="shared" si="23"/>
        <v>0</v>
      </c>
      <c r="R198" s="1350" t="e">
        <f t="shared" si="24"/>
        <v>#DIV/0!</v>
      </c>
      <c r="S198" s="184">
        <f t="shared" si="25"/>
        <v>0</v>
      </c>
      <c r="T198" s="1362" t="e">
        <f>IF('Input Page'!$F$53="Yes",S198/K198,IF('Input Page'!$F$54="Yes",S198/M198,""))</f>
        <v>#DIV/0!</v>
      </c>
      <c r="U198" s="177"/>
      <c r="V198" s="354"/>
      <c r="W198" s="1"/>
      <c r="X198" s="1"/>
      <c r="Y198" s="1"/>
      <c r="Z198" s="51"/>
      <c r="AA198" s="1"/>
      <c r="AB198" s="1"/>
      <c r="AC198" s="1"/>
      <c r="AD198" s="1"/>
      <c r="AE198" s="51"/>
      <c r="AF198" s="1234"/>
      <c r="AG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</row>
    <row r="199" spans="1:62" ht="18" hidden="1">
      <c r="A199" s="178"/>
      <c r="B199" s="175"/>
      <c r="C199" s="175"/>
      <c r="D199" s="1263"/>
      <c r="E199" s="1249"/>
      <c r="F199" s="1287"/>
      <c r="G199" s="175"/>
      <c r="H199" s="1263"/>
      <c r="I199" s="1249"/>
      <c r="J199" s="1287"/>
      <c r="K199" s="176"/>
      <c r="L199" s="1268"/>
      <c r="M199" s="182"/>
      <c r="N199" s="1310"/>
      <c r="O199" s="182"/>
      <c r="P199" s="1310"/>
      <c r="Q199" s="184">
        <f t="shared" si="23"/>
        <v>0</v>
      </c>
      <c r="R199" s="1350" t="e">
        <f t="shared" si="24"/>
        <v>#DIV/0!</v>
      </c>
      <c r="S199" s="184">
        <f t="shared" si="25"/>
        <v>0</v>
      </c>
      <c r="T199" s="1362" t="e">
        <f>IF('Input Page'!$F$53="Yes",S199/K199,IF('Input Page'!$F$54="Yes",S199/M199,""))</f>
        <v>#DIV/0!</v>
      </c>
      <c r="U199" s="177"/>
      <c r="V199" s="354"/>
      <c r="W199" s="1"/>
      <c r="X199" s="1"/>
      <c r="Y199" s="1"/>
      <c r="Z199" s="51"/>
      <c r="AA199" s="1"/>
      <c r="AB199" s="1"/>
      <c r="AC199" s="1"/>
      <c r="AD199" s="1"/>
      <c r="AE199" s="51"/>
      <c r="AF199" s="1234"/>
      <c r="AG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</row>
    <row r="200" spans="1:62" ht="18" hidden="1">
      <c r="A200" s="178"/>
      <c r="B200" s="175"/>
      <c r="C200" s="175"/>
      <c r="D200" s="1263"/>
      <c r="E200" s="1249"/>
      <c r="F200" s="1287"/>
      <c r="G200" s="175"/>
      <c r="H200" s="1263"/>
      <c r="I200" s="1249"/>
      <c r="J200" s="1287"/>
      <c r="K200" s="176"/>
      <c r="L200" s="1268"/>
      <c r="M200" s="182"/>
      <c r="N200" s="1310"/>
      <c r="O200" s="182"/>
      <c r="P200" s="1310"/>
      <c r="Q200" s="184">
        <f t="shared" si="23"/>
        <v>0</v>
      </c>
      <c r="R200" s="1350" t="e">
        <f t="shared" si="24"/>
        <v>#DIV/0!</v>
      </c>
      <c r="S200" s="184">
        <f t="shared" si="25"/>
        <v>0</v>
      </c>
      <c r="T200" s="1362" t="e">
        <f>IF('Input Page'!$F$53="Yes",S200/K200,IF('Input Page'!$F$54="Yes",S200/M200,""))</f>
        <v>#DIV/0!</v>
      </c>
      <c r="U200" s="177"/>
      <c r="V200" s="354"/>
      <c r="W200" s="1"/>
      <c r="X200" s="1"/>
      <c r="Y200" s="1"/>
      <c r="Z200" s="51"/>
      <c r="AA200" s="1"/>
      <c r="AB200" s="1"/>
      <c r="AC200" s="1"/>
      <c r="AD200" s="1"/>
      <c r="AE200" s="51"/>
      <c r="AF200" s="1234"/>
      <c r="AG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</row>
    <row r="201" spans="1:62" ht="18" hidden="1">
      <c r="A201" s="178"/>
      <c r="B201" s="175"/>
      <c r="C201" s="175"/>
      <c r="D201" s="1263"/>
      <c r="E201" s="1249"/>
      <c r="F201" s="1287"/>
      <c r="G201" s="175"/>
      <c r="H201" s="1263"/>
      <c r="I201" s="1249"/>
      <c r="J201" s="1287"/>
      <c r="K201" s="176"/>
      <c r="L201" s="1268"/>
      <c r="M201" s="182"/>
      <c r="N201" s="1310"/>
      <c r="O201" s="182"/>
      <c r="P201" s="1310"/>
      <c r="Q201" s="184">
        <f t="shared" si="23"/>
        <v>0</v>
      </c>
      <c r="R201" s="1350" t="e">
        <f t="shared" si="24"/>
        <v>#DIV/0!</v>
      </c>
      <c r="S201" s="184">
        <f t="shared" si="25"/>
        <v>0</v>
      </c>
      <c r="T201" s="1362" t="e">
        <f>IF('Input Page'!$F$53="Yes",S201/K201,IF('Input Page'!$F$54="Yes",S201/M201,""))</f>
        <v>#DIV/0!</v>
      </c>
      <c r="U201" s="177"/>
      <c r="V201" s="354"/>
      <c r="W201" s="1"/>
      <c r="X201" s="1"/>
      <c r="Y201" s="1"/>
      <c r="Z201" s="51"/>
      <c r="AA201" s="1"/>
      <c r="AB201" s="1"/>
      <c r="AC201" s="1"/>
      <c r="AD201" s="1"/>
      <c r="AE201" s="51"/>
      <c r="AF201" s="1234"/>
      <c r="AG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</row>
    <row r="202" spans="1:62" ht="18" hidden="1">
      <c r="A202" s="178"/>
      <c r="B202" s="175"/>
      <c r="C202" s="175"/>
      <c r="D202" s="1263"/>
      <c r="E202" s="1249"/>
      <c r="F202" s="1287"/>
      <c r="G202" s="175"/>
      <c r="H202" s="1263"/>
      <c r="I202" s="1249"/>
      <c r="J202" s="1287"/>
      <c r="K202" s="176"/>
      <c r="L202" s="1268"/>
      <c r="M202" s="182"/>
      <c r="N202" s="1310"/>
      <c r="O202" s="182"/>
      <c r="P202" s="1310"/>
      <c r="Q202" s="184">
        <f t="shared" si="23"/>
        <v>0</v>
      </c>
      <c r="R202" s="1350" t="e">
        <f t="shared" si="24"/>
        <v>#DIV/0!</v>
      </c>
      <c r="S202" s="184">
        <f t="shared" si="25"/>
        <v>0</v>
      </c>
      <c r="T202" s="1362" t="e">
        <f>IF('Input Page'!$F$53="Yes",S202/K202,IF('Input Page'!$F$54="Yes",S202/M202,""))</f>
        <v>#DIV/0!</v>
      </c>
      <c r="U202" s="177"/>
      <c r="V202" s="354"/>
      <c r="W202" s="1"/>
      <c r="X202" s="1"/>
      <c r="Y202" s="1"/>
      <c r="Z202" s="51"/>
      <c r="AA202" s="1"/>
      <c r="AB202" s="1"/>
      <c r="AC202" s="1"/>
      <c r="AD202" s="1"/>
      <c r="AE202" s="51"/>
      <c r="AF202" s="1234"/>
      <c r="AG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</row>
    <row r="203" spans="1:62" ht="18" hidden="1">
      <c r="A203" s="178"/>
      <c r="B203" s="175"/>
      <c r="C203" s="175"/>
      <c r="D203" s="1263"/>
      <c r="E203" s="1249"/>
      <c r="F203" s="1287"/>
      <c r="G203" s="175"/>
      <c r="H203" s="1263"/>
      <c r="I203" s="1249"/>
      <c r="J203" s="1287"/>
      <c r="K203" s="176"/>
      <c r="L203" s="1268"/>
      <c r="M203" s="182"/>
      <c r="N203" s="1310"/>
      <c r="O203" s="182"/>
      <c r="P203" s="1310"/>
      <c r="Q203" s="184">
        <f t="shared" si="23"/>
        <v>0</v>
      </c>
      <c r="R203" s="1350" t="e">
        <f t="shared" si="24"/>
        <v>#DIV/0!</v>
      </c>
      <c r="S203" s="184">
        <f t="shared" si="25"/>
        <v>0</v>
      </c>
      <c r="T203" s="1362" t="e">
        <f>IF('Input Page'!$F$53="Yes",S203/K203,IF('Input Page'!$F$54="Yes",S203/M203,""))</f>
        <v>#DIV/0!</v>
      </c>
      <c r="U203" s="177"/>
      <c r="V203" s="354"/>
      <c r="W203" s="1"/>
      <c r="X203" s="1"/>
      <c r="Y203" s="1"/>
      <c r="Z203" s="51"/>
      <c r="AA203" s="1"/>
      <c r="AB203" s="1"/>
      <c r="AC203" s="1"/>
      <c r="AD203" s="1"/>
      <c r="AE203" s="51"/>
      <c r="AF203" s="1234"/>
      <c r="AG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</row>
    <row r="204" spans="1:62" ht="18" hidden="1">
      <c r="A204" s="178"/>
      <c r="B204" s="175"/>
      <c r="C204" s="175"/>
      <c r="D204" s="1263"/>
      <c r="E204" s="1249"/>
      <c r="F204" s="1287"/>
      <c r="G204" s="175"/>
      <c r="H204" s="1263"/>
      <c r="I204" s="1249"/>
      <c r="J204" s="1287"/>
      <c r="K204" s="176"/>
      <c r="L204" s="1268"/>
      <c r="M204" s="182"/>
      <c r="N204" s="1310"/>
      <c r="O204" s="182"/>
      <c r="P204" s="1310"/>
      <c r="Q204" s="184">
        <f t="shared" si="23"/>
        <v>0</v>
      </c>
      <c r="R204" s="1350" t="e">
        <f t="shared" si="24"/>
        <v>#DIV/0!</v>
      </c>
      <c r="S204" s="184">
        <f t="shared" si="25"/>
        <v>0</v>
      </c>
      <c r="T204" s="1362" t="e">
        <f>IF('Input Page'!$F$53="Yes",S204/K204,IF('Input Page'!$F$54="Yes",S204/M204,""))</f>
        <v>#DIV/0!</v>
      </c>
      <c r="U204" s="177"/>
      <c r="V204" s="354"/>
      <c r="W204" s="1"/>
      <c r="X204" s="1"/>
      <c r="Y204" s="1"/>
      <c r="Z204" s="51"/>
      <c r="AA204" s="1"/>
      <c r="AB204" s="1"/>
      <c r="AC204" s="1"/>
      <c r="AD204" s="1"/>
      <c r="AE204" s="51"/>
      <c r="AF204" s="1234"/>
      <c r="AG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</row>
    <row r="205" spans="1:62" ht="18" hidden="1">
      <c r="A205" s="178"/>
      <c r="B205" s="175"/>
      <c r="C205" s="175"/>
      <c r="D205" s="1263"/>
      <c r="E205" s="1249"/>
      <c r="F205" s="1287"/>
      <c r="G205" s="175"/>
      <c r="H205" s="1263"/>
      <c r="I205" s="1249"/>
      <c r="J205" s="1287"/>
      <c r="K205" s="176"/>
      <c r="L205" s="1268"/>
      <c r="M205" s="182"/>
      <c r="N205" s="1310"/>
      <c r="O205" s="182"/>
      <c r="P205" s="1310"/>
      <c r="Q205" s="184">
        <f t="shared" si="23"/>
        <v>0</v>
      </c>
      <c r="R205" s="1350" t="e">
        <f t="shared" si="24"/>
        <v>#DIV/0!</v>
      </c>
      <c r="S205" s="184">
        <f t="shared" si="25"/>
        <v>0</v>
      </c>
      <c r="T205" s="1362" t="e">
        <f>IF('Input Page'!$F$53="Yes",S205/K205,IF('Input Page'!$F$54="Yes",S205/M205,""))</f>
        <v>#DIV/0!</v>
      </c>
      <c r="U205" s="177"/>
      <c r="V205" s="354"/>
      <c r="W205" s="1"/>
      <c r="X205" s="1"/>
      <c r="Y205" s="1"/>
      <c r="Z205" s="51"/>
      <c r="AA205" s="1"/>
      <c r="AB205" s="1"/>
      <c r="AC205" s="1"/>
      <c r="AD205" s="1"/>
      <c r="AE205" s="51"/>
      <c r="AF205" s="1234"/>
      <c r="AG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</row>
    <row r="206" spans="1:62" ht="18" hidden="1">
      <c r="A206" s="178"/>
      <c r="B206" s="175"/>
      <c r="C206" s="175"/>
      <c r="D206" s="1263"/>
      <c r="E206" s="1249"/>
      <c r="F206" s="1287"/>
      <c r="G206" s="175"/>
      <c r="H206" s="1263"/>
      <c r="I206" s="1249"/>
      <c r="J206" s="1287"/>
      <c r="K206" s="176"/>
      <c r="L206" s="1268"/>
      <c r="M206" s="182"/>
      <c r="N206" s="1310"/>
      <c r="O206" s="182"/>
      <c r="P206" s="1310"/>
      <c r="Q206" s="184">
        <f t="shared" si="23"/>
        <v>0</v>
      </c>
      <c r="R206" s="1350" t="e">
        <f t="shared" si="24"/>
        <v>#DIV/0!</v>
      </c>
      <c r="S206" s="184">
        <f t="shared" si="25"/>
        <v>0</v>
      </c>
      <c r="T206" s="1362" t="e">
        <f>IF('Input Page'!$F$53="Yes",S206/K206,IF('Input Page'!$F$54="Yes",S206/M206,""))</f>
        <v>#DIV/0!</v>
      </c>
      <c r="U206" s="177"/>
      <c r="V206" s="354"/>
      <c r="W206" s="1"/>
      <c r="X206" s="1"/>
      <c r="Y206" s="1"/>
      <c r="Z206" s="51"/>
      <c r="AA206" s="1"/>
      <c r="AB206" s="1"/>
      <c r="AC206" s="1"/>
      <c r="AD206" s="1"/>
      <c r="AE206" s="51"/>
      <c r="AF206" s="1234"/>
      <c r="AG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</row>
    <row r="207" spans="1:62" ht="18" hidden="1">
      <c r="A207" s="178"/>
      <c r="B207" s="175"/>
      <c r="C207" s="175"/>
      <c r="D207" s="1263"/>
      <c r="E207" s="1249"/>
      <c r="F207" s="1287"/>
      <c r="G207" s="175"/>
      <c r="H207" s="1263"/>
      <c r="I207" s="1249"/>
      <c r="J207" s="1287"/>
      <c r="K207" s="176"/>
      <c r="L207" s="1268"/>
      <c r="M207" s="182"/>
      <c r="N207" s="1310"/>
      <c r="O207" s="182"/>
      <c r="P207" s="1310"/>
      <c r="Q207" s="184">
        <f t="shared" si="23"/>
        <v>0</v>
      </c>
      <c r="R207" s="1350" t="e">
        <f t="shared" si="24"/>
        <v>#DIV/0!</v>
      </c>
      <c r="S207" s="184">
        <f t="shared" si="25"/>
        <v>0</v>
      </c>
      <c r="T207" s="1362" t="e">
        <f>IF('Input Page'!$F$53="Yes",S207/K207,IF('Input Page'!$F$54="Yes",S207/M207,""))</f>
        <v>#DIV/0!</v>
      </c>
      <c r="U207" s="177"/>
      <c r="V207" s="354"/>
      <c r="W207" s="1"/>
      <c r="X207" s="1"/>
      <c r="Y207" s="1"/>
      <c r="Z207" s="51"/>
      <c r="AA207" s="1"/>
      <c r="AB207" s="1"/>
      <c r="AC207" s="1"/>
      <c r="AD207" s="1"/>
      <c r="AE207" s="51"/>
      <c r="AF207" s="1234"/>
      <c r="AG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</row>
    <row r="208" spans="1:62" ht="18" hidden="1">
      <c r="A208" s="178"/>
      <c r="B208" s="175"/>
      <c r="C208" s="175"/>
      <c r="D208" s="1263"/>
      <c r="E208" s="1249"/>
      <c r="F208" s="1287"/>
      <c r="G208" s="175"/>
      <c r="H208" s="1263"/>
      <c r="I208" s="1249"/>
      <c r="J208" s="1287"/>
      <c r="K208" s="176"/>
      <c r="L208" s="1268"/>
      <c r="M208" s="182"/>
      <c r="N208" s="1310"/>
      <c r="O208" s="182"/>
      <c r="P208" s="1310"/>
      <c r="Q208" s="184">
        <f t="shared" si="23"/>
        <v>0</v>
      </c>
      <c r="R208" s="1350" t="e">
        <f t="shared" si="24"/>
        <v>#DIV/0!</v>
      </c>
      <c r="S208" s="184">
        <f t="shared" si="25"/>
        <v>0</v>
      </c>
      <c r="T208" s="1362" t="e">
        <f>IF('Input Page'!$F$53="Yes",S208/K208,IF('Input Page'!$F$54="Yes",S208/M208,""))</f>
        <v>#DIV/0!</v>
      </c>
      <c r="U208" s="177"/>
      <c r="V208" s="354"/>
      <c r="W208" s="1"/>
      <c r="X208" s="1"/>
      <c r="Y208" s="1"/>
      <c r="Z208" s="51"/>
      <c r="AA208" s="1"/>
      <c r="AB208" s="1"/>
      <c r="AC208" s="1"/>
      <c r="AD208" s="1"/>
      <c r="AE208" s="51"/>
      <c r="AF208" s="1234"/>
      <c r="AG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</row>
    <row r="209" spans="1:62" ht="18" hidden="1">
      <c r="A209" s="178"/>
      <c r="B209" s="175"/>
      <c r="C209" s="175"/>
      <c r="D209" s="1263"/>
      <c r="E209" s="1249"/>
      <c r="F209" s="1287"/>
      <c r="G209" s="175"/>
      <c r="H209" s="1263"/>
      <c r="I209" s="1249"/>
      <c r="J209" s="1287"/>
      <c r="K209" s="176"/>
      <c r="L209" s="1268"/>
      <c r="M209" s="182"/>
      <c r="N209" s="1310"/>
      <c r="O209" s="182"/>
      <c r="P209" s="1310"/>
      <c r="Q209" s="184">
        <f t="shared" si="23"/>
        <v>0</v>
      </c>
      <c r="R209" s="1350" t="e">
        <f t="shared" si="24"/>
        <v>#DIV/0!</v>
      </c>
      <c r="S209" s="184">
        <f t="shared" si="25"/>
        <v>0</v>
      </c>
      <c r="T209" s="1362" t="e">
        <f>IF('Input Page'!$F$53="Yes",S209/K209,IF('Input Page'!$F$54="Yes",S209/M209,""))</f>
        <v>#DIV/0!</v>
      </c>
      <c r="U209" s="177"/>
      <c r="V209" s="354"/>
      <c r="W209" s="1"/>
      <c r="X209" s="1"/>
      <c r="Y209" s="1"/>
      <c r="Z209" s="51"/>
      <c r="AA209" s="1"/>
      <c r="AB209" s="1"/>
      <c r="AC209" s="1"/>
      <c r="AD209" s="1"/>
      <c r="AE209" s="51"/>
      <c r="AF209" s="1234"/>
      <c r="AG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</row>
    <row r="210" spans="1:62" ht="18" hidden="1">
      <c r="A210" s="178"/>
      <c r="B210" s="175"/>
      <c r="C210" s="175"/>
      <c r="D210" s="1263"/>
      <c r="E210" s="1249"/>
      <c r="F210" s="1287"/>
      <c r="G210" s="175"/>
      <c r="H210" s="1263"/>
      <c r="I210" s="1249"/>
      <c r="J210" s="1287"/>
      <c r="K210" s="176"/>
      <c r="L210" s="1268"/>
      <c r="M210" s="182"/>
      <c r="N210" s="1310"/>
      <c r="O210" s="182"/>
      <c r="P210" s="1310"/>
      <c r="Q210" s="184">
        <f t="shared" si="23"/>
        <v>0</v>
      </c>
      <c r="R210" s="1350" t="e">
        <f t="shared" si="24"/>
        <v>#DIV/0!</v>
      </c>
      <c r="S210" s="184">
        <f t="shared" si="25"/>
        <v>0</v>
      </c>
      <c r="T210" s="1362" t="e">
        <f>IF('Input Page'!$F$53="Yes",S210/K210,IF('Input Page'!$F$54="Yes",S210/M210,""))</f>
        <v>#DIV/0!</v>
      </c>
      <c r="U210" s="177"/>
      <c r="V210" s="354"/>
      <c r="W210" s="1"/>
      <c r="X210" s="1"/>
      <c r="Y210" s="1"/>
      <c r="Z210" s="51"/>
      <c r="AA210" s="1"/>
      <c r="AB210" s="1"/>
      <c r="AC210" s="1"/>
      <c r="AD210" s="1"/>
      <c r="AE210" s="51"/>
      <c r="AF210" s="1234"/>
      <c r="AG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</row>
    <row r="211" spans="1:62" ht="18" hidden="1">
      <c r="A211" s="178"/>
      <c r="B211" s="175"/>
      <c r="C211" s="175"/>
      <c r="D211" s="1263"/>
      <c r="E211" s="1249"/>
      <c r="F211" s="1287"/>
      <c r="G211" s="175"/>
      <c r="H211" s="1263"/>
      <c r="I211" s="1249"/>
      <c r="J211" s="1287"/>
      <c r="K211" s="176"/>
      <c r="L211" s="1268"/>
      <c r="M211" s="182"/>
      <c r="N211" s="1310"/>
      <c r="O211" s="182"/>
      <c r="P211" s="1310"/>
      <c r="Q211" s="184">
        <f t="shared" si="23"/>
        <v>0</v>
      </c>
      <c r="R211" s="1350" t="e">
        <f t="shared" si="24"/>
        <v>#DIV/0!</v>
      </c>
      <c r="S211" s="184">
        <f t="shared" si="25"/>
        <v>0</v>
      </c>
      <c r="T211" s="1362" t="e">
        <f>IF('Input Page'!$F$53="Yes",S211/K211,IF('Input Page'!$F$54="Yes",S211/M211,""))</f>
        <v>#DIV/0!</v>
      </c>
      <c r="U211" s="177"/>
      <c r="V211" s="354"/>
      <c r="W211" s="1"/>
      <c r="X211" s="1"/>
      <c r="Y211" s="1"/>
      <c r="Z211" s="51"/>
      <c r="AA211" s="1"/>
      <c r="AB211" s="1"/>
      <c r="AC211" s="1"/>
      <c r="AD211" s="1"/>
      <c r="AE211" s="51"/>
      <c r="AF211" s="1234"/>
      <c r="AG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</row>
    <row r="212" spans="1:62" ht="18" hidden="1">
      <c r="A212" s="178"/>
      <c r="B212" s="175"/>
      <c r="C212" s="175"/>
      <c r="D212" s="1263"/>
      <c r="E212" s="1249"/>
      <c r="F212" s="1287"/>
      <c r="G212" s="175"/>
      <c r="H212" s="1263"/>
      <c r="I212" s="1249"/>
      <c r="J212" s="1287"/>
      <c r="K212" s="176"/>
      <c r="L212" s="1268"/>
      <c r="M212" s="182"/>
      <c r="N212" s="1310"/>
      <c r="O212" s="182"/>
      <c r="P212" s="1310"/>
      <c r="Q212" s="184">
        <f t="shared" si="23"/>
        <v>0</v>
      </c>
      <c r="R212" s="1350" t="e">
        <f t="shared" si="24"/>
        <v>#DIV/0!</v>
      </c>
      <c r="S212" s="184">
        <f t="shared" si="25"/>
        <v>0</v>
      </c>
      <c r="T212" s="1362" t="e">
        <f>IF('Input Page'!$F$53="Yes",S212/K212,IF('Input Page'!$F$54="Yes",S212/M212,""))</f>
        <v>#DIV/0!</v>
      </c>
      <c r="U212" s="177"/>
      <c r="V212" s="354"/>
      <c r="W212" s="1"/>
      <c r="X212" s="1"/>
      <c r="Y212" s="1"/>
      <c r="Z212" s="51"/>
      <c r="AA212" s="1"/>
      <c r="AB212" s="1"/>
      <c r="AC212" s="1"/>
      <c r="AD212" s="1"/>
      <c r="AE212" s="51"/>
      <c r="AF212" s="1234"/>
      <c r="AG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</row>
    <row r="213" spans="1:62" ht="18" hidden="1">
      <c r="A213" s="178"/>
      <c r="B213" s="175"/>
      <c r="C213" s="175"/>
      <c r="D213" s="1263"/>
      <c r="E213" s="1249"/>
      <c r="F213" s="1287"/>
      <c r="G213" s="175"/>
      <c r="H213" s="1263"/>
      <c r="I213" s="1249"/>
      <c r="J213" s="1287"/>
      <c r="K213" s="176"/>
      <c r="L213" s="1268"/>
      <c r="M213" s="182"/>
      <c r="N213" s="1310"/>
      <c r="O213" s="182"/>
      <c r="P213" s="1310"/>
      <c r="Q213" s="184">
        <f t="shared" si="23"/>
        <v>0</v>
      </c>
      <c r="R213" s="1350" t="e">
        <f t="shared" si="24"/>
        <v>#DIV/0!</v>
      </c>
      <c r="S213" s="184">
        <f t="shared" si="25"/>
        <v>0</v>
      </c>
      <c r="T213" s="1362" t="e">
        <f>IF('Input Page'!$F$53="Yes",S213/K213,IF('Input Page'!$F$54="Yes",S213/M213,""))</f>
        <v>#DIV/0!</v>
      </c>
      <c r="U213" s="177"/>
      <c r="V213" s="354"/>
      <c r="W213" s="1"/>
      <c r="X213" s="1"/>
      <c r="Y213" s="1"/>
      <c r="Z213" s="51"/>
      <c r="AA213" s="1"/>
      <c r="AB213" s="1"/>
      <c r="AC213" s="1"/>
      <c r="AD213" s="1"/>
      <c r="AE213" s="51"/>
      <c r="AF213" s="1234"/>
      <c r="AG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</row>
    <row r="214" spans="1:62" ht="18" hidden="1">
      <c r="A214" s="178"/>
      <c r="B214" s="175"/>
      <c r="C214" s="175"/>
      <c r="D214" s="1263"/>
      <c r="E214" s="1249"/>
      <c r="F214" s="1287"/>
      <c r="G214" s="175"/>
      <c r="H214" s="1263"/>
      <c r="I214" s="1249"/>
      <c r="J214" s="1287"/>
      <c r="K214" s="176"/>
      <c r="L214" s="1268"/>
      <c r="M214" s="182"/>
      <c r="N214" s="1310"/>
      <c r="O214" s="182"/>
      <c r="P214" s="1310"/>
      <c r="Q214" s="184">
        <f t="shared" si="23"/>
        <v>0</v>
      </c>
      <c r="R214" s="1350" t="e">
        <f t="shared" si="24"/>
        <v>#DIV/0!</v>
      </c>
      <c r="S214" s="184">
        <f t="shared" si="25"/>
        <v>0</v>
      </c>
      <c r="T214" s="1362" t="e">
        <f>IF('Input Page'!$F$53="Yes",S214/K214,IF('Input Page'!$F$54="Yes",S214/M214,""))</f>
        <v>#DIV/0!</v>
      </c>
      <c r="U214" s="177"/>
      <c r="V214" s="354"/>
      <c r="W214" s="1"/>
      <c r="X214" s="1"/>
      <c r="Y214" s="1"/>
      <c r="Z214" s="51"/>
      <c r="AA214" s="1"/>
      <c r="AB214" s="1"/>
      <c r="AC214" s="1"/>
      <c r="AD214" s="1"/>
      <c r="AE214" s="51"/>
      <c r="AF214" s="1234"/>
      <c r="AG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</row>
    <row r="215" spans="1:62" ht="18" hidden="1">
      <c r="A215" s="178"/>
      <c r="B215" s="175"/>
      <c r="C215" s="175"/>
      <c r="D215" s="1263"/>
      <c r="E215" s="1249"/>
      <c r="F215" s="1287"/>
      <c r="G215" s="175"/>
      <c r="H215" s="1263"/>
      <c r="I215" s="1249"/>
      <c r="J215" s="1287"/>
      <c r="K215" s="176"/>
      <c r="L215" s="1268"/>
      <c r="M215" s="182"/>
      <c r="N215" s="1310"/>
      <c r="O215" s="182"/>
      <c r="P215" s="1310"/>
      <c r="Q215" s="184">
        <f t="shared" si="23"/>
        <v>0</v>
      </c>
      <c r="R215" s="1350" t="e">
        <f t="shared" si="24"/>
        <v>#DIV/0!</v>
      </c>
      <c r="S215" s="184">
        <f t="shared" si="25"/>
        <v>0</v>
      </c>
      <c r="T215" s="1362" t="e">
        <f>IF('Input Page'!$F$53="Yes",S215/K215,IF('Input Page'!$F$54="Yes",S215/M215,""))</f>
        <v>#DIV/0!</v>
      </c>
      <c r="U215" s="177"/>
      <c r="V215" s="354"/>
      <c r="W215" s="1"/>
      <c r="X215" s="1"/>
      <c r="Y215" s="1"/>
      <c r="Z215" s="51"/>
      <c r="AA215" s="1"/>
      <c r="AB215" s="1"/>
      <c r="AC215" s="1"/>
      <c r="AD215" s="1"/>
      <c r="AE215" s="51"/>
      <c r="AF215" s="1234"/>
      <c r="AG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</row>
    <row r="216" spans="1:62" ht="18" hidden="1">
      <c r="A216" s="178"/>
      <c r="B216" s="175"/>
      <c r="C216" s="175"/>
      <c r="D216" s="1263"/>
      <c r="E216" s="1249"/>
      <c r="F216" s="1287"/>
      <c r="G216" s="175"/>
      <c r="H216" s="1263"/>
      <c r="I216" s="1249"/>
      <c r="J216" s="1287"/>
      <c r="K216" s="176"/>
      <c r="L216" s="1268"/>
      <c r="M216" s="182"/>
      <c r="N216" s="1310"/>
      <c r="O216" s="182"/>
      <c r="P216" s="1310"/>
      <c r="Q216" s="184">
        <f t="shared" si="23"/>
        <v>0</v>
      </c>
      <c r="R216" s="1350" t="e">
        <f t="shared" si="24"/>
        <v>#DIV/0!</v>
      </c>
      <c r="S216" s="184">
        <f t="shared" si="25"/>
        <v>0</v>
      </c>
      <c r="T216" s="1362" t="e">
        <f>IF('Input Page'!$F$53="Yes",S216/K216,IF('Input Page'!$F$54="Yes",S216/M216,""))</f>
        <v>#DIV/0!</v>
      </c>
      <c r="U216" s="177"/>
      <c r="V216" s="354"/>
      <c r="W216" s="1"/>
      <c r="X216" s="1"/>
      <c r="Y216" s="1"/>
      <c r="Z216" s="51"/>
      <c r="AA216" s="1"/>
      <c r="AB216" s="1"/>
      <c r="AC216" s="1"/>
      <c r="AD216" s="1"/>
      <c r="AE216" s="51"/>
      <c r="AF216" s="1234"/>
      <c r="AG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</row>
    <row r="217" spans="1:62" ht="18" hidden="1">
      <c r="A217" s="178"/>
      <c r="B217" s="175"/>
      <c r="C217" s="175"/>
      <c r="D217" s="1263"/>
      <c r="E217" s="1249"/>
      <c r="F217" s="1287"/>
      <c r="G217" s="175"/>
      <c r="H217" s="1263"/>
      <c r="I217" s="1249"/>
      <c r="J217" s="1287"/>
      <c r="K217" s="176"/>
      <c r="L217" s="1268"/>
      <c r="M217" s="182"/>
      <c r="N217" s="1310"/>
      <c r="O217" s="182"/>
      <c r="P217" s="1310"/>
      <c r="Q217" s="184">
        <f t="shared" si="23"/>
        <v>0</v>
      </c>
      <c r="R217" s="1350" t="e">
        <f t="shared" si="24"/>
        <v>#DIV/0!</v>
      </c>
      <c r="S217" s="184">
        <f t="shared" si="25"/>
        <v>0</v>
      </c>
      <c r="T217" s="1362" t="e">
        <f>IF('Input Page'!$F$53="Yes",S217/K217,IF('Input Page'!$F$54="Yes",S217/M217,""))</f>
        <v>#DIV/0!</v>
      </c>
      <c r="U217" s="177"/>
      <c r="V217" s="354"/>
      <c r="W217" s="1"/>
      <c r="X217" s="1"/>
      <c r="Y217" s="1"/>
      <c r="Z217" s="51"/>
      <c r="AA217" s="1"/>
      <c r="AB217" s="1"/>
      <c r="AC217" s="1"/>
      <c r="AD217" s="1"/>
      <c r="AE217" s="51"/>
      <c r="AF217" s="1234"/>
      <c r="AG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</row>
    <row r="218" spans="1:62" ht="18" hidden="1">
      <c r="A218" s="178"/>
      <c r="B218" s="175"/>
      <c r="C218" s="175"/>
      <c r="D218" s="1263"/>
      <c r="E218" s="1249"/>
      <c r="F218" s="1287"/>
      <c r="G218" s="175"/>
      <c r="H218" s="1263"/>
      <c r="I218" s="1249"/>
      <c r="J218" s="1287"/>
      <c r="K218" s="176"/>
      <c r="L218" s="1268"/>
      <c r="M218" s="182"/>
      <c r="N218" s="1310"/>
      <c r="O218" s="182"/>
      <c r="P218" s="1310"/>
      <c r="Q218" s="184">
        <f t="shared" si="23"/>
        <v>0</v>
      </c>
      <c r="R218" s="1350" t="e">
        <f t="shared" si="24"/>
        <v>#DIV/0!</v>
      </c>
      <c r="S218" s="184">
        <f t="shared" si="25"/>
        <v>0</v>
      </c>
      <c r="T218" s="1362" t="e">
        <f>IF('Input Page'!$F$53="Yes",S218/K218,IF('Input Page'!$F$54="Yes",S218/M218,""))</f>
        <v>#DIV/0!</v>
      </c>
      <c r="U218" s="177"/>
      <c r="V218" s="354"/>
      <c r="W218" s="1"/>
      <c r="X218" s="1"/>
      <c r="Y218" s="1"/>
      <c r="Z218" s="51"/>
      <c r="AA218" s="1"/>
      <c r="AB218" s="1"/>
      <c r="AC218" s="1"/>
      <c r="AD218" s="1"/>
      <c r="AE218" s="51"/>
      <c r="AF218" s="1234"/>
      <c r="AG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</row>
    <row r="219" spans="1:62" ht="18" hidden="1">
      <c r="A219" s="178"/>
      <c r="B219" s="175"/>
      <c r="C219" s="175"/>
      <c r="D219" s="1263"/>
      <c r="E219" s="1249"/>
      <c r="F219" s="1287"/>
      <c r="G219" s="175"/>
      <c r="H219" s="1263"/>
      <c r="I219" s="1249"/>
      <c r="J219" s="1287"/>
      <c r="K219" s="176"/>
      <c r="L219" s="1268"/>
      <c r="M219" s="182"/>
      <c r="N219" s="1310"/>
      <c r="O219" s="182"/>
      <c r="P219" s="1310"/>
      <c r="Q219" s="184">
        <f t="shared" si="23"/>
        <v>0</v>
      </c>
      <c r="R219" s="1350" t="e">
        <f t="shared" si="24"/>
        <v>#DIV/0!</v>
      </c>
      <c r="S219" s="184">
        <f t="shared" si="25"/>
        <v>0</v>
      </c>
      <c r="T219" s="1362" t="e">
        <f>IF('Input Page'!$F$53="Yes",S219/K219,IF('Input Page'!$F$54="Yes",S219/M219,""))</f>
        <v>#DIV/0!</v>
      </c>
      <c r="U219" s="177"/>
      <c r="V219" s="354"/>
      <c r="W219" s="1"/>
      <c r="X219" s="1"/>
      <c r="Y219" s="1"/>
      <c r="Z219" s="51"/>
      <c r="AA219" s="1"/>
      <c r="AB219" s="1"/>
      <c r="AC219" s="1"/>
      <c r="AD219" s="1"/>
      <c r="AE219" s="51"/>
      <c r="AF219" s="1234"/>
      <c r="AG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</row>
    <row r="220" spans="1:62" ht="18" hidden="1">
      <c r="A220" s="178"/>
      <c r="B220" s="175"/>
      <c r="C220" s="175"/>
      <c r="D220" s="1263"/>
      <c r="E220" s="1249"/>
      <c r="F220" s="1287"/>
      <c r="G220" s="175"/>
      <c r="H220" s="1263"/>
      <c r="I220" s="1249"/>
      <c r="J220" s="1287"/>
      <c r="K220" s="176"/>
      <c r="L220" s="1268"/>
      <c r="M220" s="182"/>
      <c r="N220" s="1310"/>
      <c r="O220" s="182"/>
      <c r="P220" s="1310"/>
      <c r="Q220" s="184">
        <f t="shared" si="23"/>
        <v>0</v>
      </c>
      <c r="R220" s="1350" t="e">
        <f t="shared" si="24"/>
        <v>#DIV/0!</v>
      </c>
      <c r="S220" s="184">
        <f t="shared" si="25"/>
        <v>0</v>
      </c>
      <c r="T220" s="1362" t="e">
        <f>IF('Input Page'!$F$53="Yes",S220/K220,IF('Input Page'!$F$54="Yes",S220/M220,""))</f>
        <v>#DIV/0!</v>
      </c>
      <c r="U220" s="177"/>
      <c r="V220" s="354"/>
      <c r="W220" s="1"/>
      <c r="X220" s="1"/>
      <c r="Y220" s="1"/>
      <c r="Z220" s="51"/>
      <c r="AA220" s="1"/>
      <c r="AB220" s="1"/>
      <c r="AC220" s="1"/>
      <c r="AD220" s="1"/>
      <c r="AE220" s="51"/>
      <c r="AF220" s="1234"/>
      <c r="AG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</row>
    <row r="221" spans="1:62" ht="18" hidden="1">
      <c r="A221" s="178"/>
      <c r="B221" s="175"/>
      <c r="C221" s="175"/>
      <c r="D221" s="1263"/>
      <c r="E221" s="1249"/>
      <c r="F221" s="1287"/>
      <c r="G221" s="175"/>
      <c r="H221" s="1263"/>
      <c r="I221" s="1249"/>
      <c r="J221" s="1287"/>
      <c r="K221" s="176"/>
      <c r="L221" s="1268"/>
      <c r="M221" s="182"/>
      <c r="N221" s="1310"/>
      <c r="O221" s="182"/>
      <c r="P221" s="1310"/>
      <c r="Q221" s="184">
        <f t="shared" si="23"/>
        <v>0</v>
      </c>
      <c r="R221" s="1350" t="e">
        <f t="shared" si="24"/>
        <v>#DIV/0!</v>
      </c>
      <c r="S221" s="184">
        <f t="shared" si="25"/>
        <v>0</v>
      </c>
      <c r="T221" s="1362" t="e">
        <f>IF('Input Page'!$F$53="Yes",S221/K221,IF('Input Page'!$F$54="Yes",S221/M221,""))</f>
        <v>#DIV/0!</v>
      </c>
      <c r="U221" s="177"/>
      <c r="V221" s="354"/>
      <c r="W221" s="1"/>
      <c r="X221" s="1"/>
      <c r="Y221" s="1"/>
      <c r="Z221" s="51"/>
      <c r="AA221" s="1"/>
      <c r="AB221" s="1"/>
      <c r="AC221" s="1"/>
      <c r="AD221" s="1"/>
      <c r="AE221" s="51"/>
      <c r="AF221" s="1234"/>
      <c r="AG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</row>
    <row r="222" spans="1:62" ht="18" hidden="1">
      <c r="A222" s="178"/>
      <c r="B222" s="175"/>
      <c r="C222" s="175"/>
      <c r="D222" s="1263"/>
      <c r="E222" s="1249"/>
      <c r="F222" s="1287"/>
      <c r="G222" s="175"/>
      <c r="H222" s="1263"/>
      <c r="I222" s="1249"/>
      <c r="J222" s="1287"/>
      <c r="K222" s="176"/>
      <c r="L222" s="1268"/>
      <c r="M222" s="182"/>
      <c r="N222" s="1310"/>
      <c r="O222" s="182"/>
      <c r="P222" s="1310"/>
      <c r="Q222" s="184">
        <f t="shared" si="23"/>
        <v>0</v>
      </c>
      <c r="R222" s="1350" t="e">
        <f t="shared" si="24"/>
        <v>#DIV/0!</v>
      </c>
      <c r="S222" s="184">
        <f t="shared" si="25"/>
        <v>0</v>
      </c>
      <c r="T222" s="1362" t="e">
        <f>IF('Input Page'!$F$53="Yes",S222/K222,IF('Input Page'!$F$54="Yes",S222/M222,""))</f>
        <v>#DIV/0!</v>
      </c>
      <c r="U222" s="177"/>
      <c r="V222" s="354"/>
      <c r="W222" s="1"/>
      <c r="X222" s="1"/>
      <c r="Y222" s="1"/>
      <c r="Z222" s="51"/>
      <c r="AA222" s="1"/>
      <c r="AB222" s="1"/>
      <c r="AC222" s="1"/>
      <c r="AD222" s="1"/>
      <c r="AE222" s="51"/>
      <c r="AF222" s="1234"/>
      <c r="AG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</row>
    <row r="223" spans="1:62" ht="18" hidden="1">
      <c r="A223" s="178"/>
      <c r="B223" s="175"/>
      <c r="C223" s="175"/>
      <c r="D223" s="1263"/>
      <c r="E223" s="1249"/>
      <c r="F223" s="1287"/>
      <c r="G223" s="175"/>
      <c r="H223" s="1263"/>
      <c r="I223" s="1249"/>
      <c r="J223" s="1287"/>
      <c r="K223" s="176"/>
      <c r="L223" s="1268"/>
      <c r="M223" s="182"/>
      <c r="N223" s="1310"/>
      <c r="O223" s="182"/>
      <c r="P223" s="1310"/>
      <c r="Q223" s="184">
        <f t="shared" si="23"/>
        <v>0</v>
      </c>
      <c r="R223" s="1350" t="e">
        <f t="shared" si="24"/>
        <v>#DIV/0!</v>
      </c>
      <c r="S223" s="184">
        <f t="shared" si="25"/>
        <v>0</v>
      </c>
      <c r="T223" s="1362" t="e">
        <f>IF('Input Page'!$F$53="Yes",S223/K223,IF('Input Page'!$F$54="Yes",S223/M223,""))</f>
        <v>#DIV/0!</v>
      </c>
      <c r="U223" s="177"/>
      <c r="V223" s="354"/>
      <c r="W223" s="1"/>
      <c r="X223" s="1"/>
      <c r="Y223" s="1"/>
      <c r="Z223" s="51"/>
      <c r="AA223" s="1"/>
      <c r="AB223" s="1"/>
      <c r="AC223" s="1"/>
      <c r="AD223" s="1"/>
      <c r="AE223" s="51"/>
      <c r="AF223" s="1234"/>
      <c r="AG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</row>
    <row r="224" spans="1:62" ht="18" hidden="1">
      <c r="A224" s="178"/>
      <c r="B224" s="175"/>
      <c r="C224" s="175"/>
      <c r="D224" s="1263"/>
      <c r="E224" s="1249"/>
      <c r="F224" s="1287"/>
      <c r="G224" s="175"/>
      <c r="H224" s="1263"/>
      <c r="I224" s="1249"/>
      <c r="J224" s="1287"/>
      <c r="K224" s="176"/>
      <c r="L224" s="1268"/>
      <c r="M224" s="182"/>
      <c r="N224" s="1310"/>
      <c r="O224" s="182"/>
      <c r="P224" s="1310"/>
      <c r="Q224" s="184">
        <f t="shared" si="23"/>
        <v>0</v>
      </c>
      <c r="R224" s="1350" t="e">
        <f t="shared" si="24"/>
        <v>#DIV/0!</v>
      </c>
      <c r="S224" s="184">
        <f t="shared" si="25"/>
        <v>0</v>
      </c>
      <c r="T224" s="1362" t="e">
        <f>IF('Input Page'!$F$53="Yes",S224/K224,IF('Input Page'!$F$54="Yes",S224/M224,""))</f>
        <v>#DIV/0!</v>
      </c>
      <c r="U224" s="177"/>
      <c r="V224" s="354"/>
      <c r="W224" s="1"/>
      <c r="X224" s="1"/>
      <c r="Y224" s="1"/>
      <c r="Z224" s="51"/>
      <c r="AA224" s="1"/>
      <c r="AB224" s="1"/>
      <c r="AC224" s="1"/>
      <c r="AD224" s="1"/>
      <c r="AE224" s="51"/>
      <c r="AF224" s="1234"/>
      <c r="AG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</row>
    <row r="225" spans="1:62" ht="18" hidden="1">
      <c r="A225" s="178"/>
      <c r="B225" s="175"/>
      <c r="C225" s="175"/>
      <c r="D225" s="1263"/>
      <c r="E225" s="1249"/>
      <c r="F225" s="1287"/>
      <c r="G225" s="175"/>
      <c r="H225" s="1263"/>
      <c r="I225" s="1249"/>
      <c r="J225" s="1287"/>
      <c r="K225" s="176"/>
      <c r="L225" s="1268"/>
      <c r="M225" s="182"/>
      <c r="N225" s="1310"/>
      <c r="O225" s="182"/>
      <c r="P225" s="1310"/>
      <c r="Q225" s="184">
        <f t="shared" si="23"/>
        <v>0</v>
      </c>
      <c r="R225" s="1350" t="e">
        <f t="shared" si="24"/>
        <v>#DIV/0!</v>
      </c>
      <c r="S225" s="184">
        <f t="shared" si="25"/>
        <v>0</v>
      </c>
      <c r="T225" s="1362" t="e">
        <f>IF('Input Page'!$F$53="Yes",S225/K225,IF('Input Page'!$F$54="Yes",S225/M225,""))</f>
        <v>#DIV/0!</v>
      </c>
      <c r="U225" s="177"/>
      <c r="V225" s="354"/>
      <c r="W225" s="1"/>
      <c r="X225" s="1"/>
      <c r="Y225" s="1"/>
      <c r="Z225" s="51"/>
      <c r="AA225" s="1"/>
      <c r="AB225" s="1"/>
      <c r="AC225" s="1"/>
      <c r="AD225" s="1"/>
      <c r="AE225" s="51"/>
      <c r="AF225" s="1234"/>
      <c r="AG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</row>
    <row r="226" spans="1:62" ht="18" hidden="1">
      <c r="A226" s="178"/>
      <c r="B226" s="175"/>
      <c r="C226" s="175"/>
      <c r="D226" s="1263"/>
      <c r="E226" s="1249"/>
      <c r="F226" s="1287"/>
      <c r="G226" s="175"/>
      <c r="H226" s="1263"/>
      <c r="I226" s="1249"/>
      <c r="J226" s="1287"/>
      <c r="K226" s="176"/>
      <c r="L226" s="1268"/>
      <c r="M226" s="182"/>
      <c r="N226" s="1310"/>
      <c r="O226" s="182"/>
      <c r="P226" s="1310"/>
      <c r="Q226" s="184">
        <f t="shared" si="23"/>
        <v>0</v>
      </c>
      <c r="R226" s="1350" t="e">
        <f t="shared" si="24"/>
        <v>#DIV/0!</v>
      </c>
      <c r="S226" s="184">
        <f t="shared" si="25"/>
        <v>0</v>
      </c>
      <c r="T226" s="1362" t="e">
        <f>IF('Input Page'!$F$53="Yes",S226/K226,IF('Input Page'!$F$54="Yes",S226/M226,""))</f>
        <v>#DIV/0!</v>
      </c>
      <c r="U226" s="177"/>
      <c r="V226" s="354"/>
      <c r="W226" s="1"/>
      <c r="X226" s="1"/>
      <c r="Y226" s="1"/>
      <c r="Z226" s="51"/>
      <c r="AA226" s="1"/>
      <c r="AB226" s="1"/>
      <c r="AC226" s="1"/>
      <c r="AD226" s="1"/>
      <c r="AE226" s="51"/>
      <c r="AF226" s="1234"/>
      <c r="AG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</row>
    <row r="227" spans="1:62" ht="18" hidden="1">
      <c r="A227" s="178"/>
      <c r="B227" s="175"/>
      <c r="C227" s="175"/>
      <c r="D227" s="1263"/>
      <c r="E227" s="1249"/>
      <c r="F227" s="1287"/>
      <c r="G227" s="175"/>
      <c r="H227" s="1263"/>
      <c r="I227" s="1249"/>
      <c r="J227" s="1287"/>
      <c r="K227" s="176"/>
      <c r="L227" s="1268"/>
      <c r="M227" s="182"/>
      <c r="N227" s="1310"/>
      <c r="O227" s="182"/>
      <c r="P227" s="1310"/>
      <c r="Q227" s="184">
        <f t="shared" si="23"/>
        <v>0</v>
      </c>
      <c r="R227" s="1350" t="e">
        <f t="shared" si="24"/>
        <v>#DIV/0!</v>
      </c>
      <c r="S227" s="184">
        <f t="shared" si="25"/>
        <v>0</v>
      </c>
      <c r="T227" s="1362" t="e">
        <f>IF('Input Page'!$F$53="Yes",S227/K227,IF('Input Page'!$F$54="Yes",S227/M227,""))</f>
        <v>#DIV/0!</v>
      </c>
      <c r="U227" s="177"/>
      <c r="V227" s="354"/>
      <c r="W227" s="1"/>
      <c r="X227" s="1"/>
      <c r="Y227" s="1"/>
      <c r="Z227" s="51"/>
      <c r="AA227" s="1"/>
      <c r="AB227" s="1"/>
      <c r="AC227" s="1"/>
      <c r="AD227" s="1"/>
      <c r="AE227" s="51"/>
      <c r="AF227" s="1234"/>
      <c r="AG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</row>
    <row r="228" spans="1:62" ht="18" hidden="1">
      <c r="A228" s="178"/>
      <c r="B228" s="175"/>
      <c r="C228" s="175"/>
      <c r="D228" s="1263"/>
      <c r="E228" s="1249"/>
      <c r="F228" s="1287"/>
      <c r="G228" s="175"/>
      <c r="H228" s="1263"/>
      <c r="I228" s="1249"/>
      <c r="J228" s="1287"/>
      <c r="K228" s="176"/>
      <c r="L228" s="1268"/>
      <c r="M228" s="182"/>
      <c r="N228" s="1310"/>
      <c r="O228" s="182"/>
      <c r="P228" s="1310"/>
      <c r="Q228" s="184">
        <f t="shared" si="23"/>
        <v>0</v>
      </c>
      <c r="R228" s="1350" t="e">
        <f t="shared" si="24"/>
        <v>#DIV/0!</v>
      </c>
      <c r="S228" s="184">
        <f t="shared" si="25"/>
        <v>0</v>
      </c>
      <c r="T228" s="1362" t="e">
        <f>IF('Input Page'!$F$53="Yes",S228/K228,IF('Input Page'!$F$54="Yes",S228/M228,""))</f>
        <v>#DIV/0!</v>
      </c>
      <c r="U228" s="177"/>
      <c r="V228" s="354"/>
      <c r="W228" s="1"/>
      <c r="X228" s="1"/>
      <c r="Y228" s="1"/>
      <c r="Z228" s="51"/>
      <c r="AA228" s="1"/>
      <c r="AB228" s="1"/>
      <c r="AC228" s="1"/>
      <c r="AD228" s="1"/>
      <c r="AE228" s="51"/>
      <c r="AF228" s="1234"/>
      <c r="AG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</row>
    <row r="229" spans="1:62" ht="18" hidden="1">
      <c r="A229" s="178"/>
      <c r="B229" s="175"/>
      <c r="C229" s="175"/>
      <c r="D229" s="1263"/>
      <c r="E229" s="1249"/>
      <c r="F229" s="1287"/>
      <c r="G229" s="175"/>
      <c r="H229" s="1263"/>
      <c r="I229" s="1249"/>
      <c r="J229" s="1287"/>
      <c r="K229" s="176"/>
      <c r="L229" s="1268"/>
      <c r="M229" s="182"/>
      <c r="N229" s="1310"/>
      <c r="O229" s="182"/>
      <c r="P229" s="1310"/>
      <c r="Q229" s="184">
        <f t="shared" si="23"/>
        <v>0</v>
      </c>
      <c r="R229" s="1350" t="e">
        <f t="shared" si="24"/>
        <v>#DIV/0!</v>
      </c>
      <c r="S229" s="184">
        <f t="shared" si="25"/>
        <v>0</v>
      </c>
      <c r="T229" s="1362" t="e">
        <f>IF('Input Page'!$F$53="Yes",S229/K229,IF('Input Page'!$F$54="Yes",S229/M229,""))</f>
        <v>#DIV/0!</v>
      </c>
      <c r="U229" s="177"/>
      <c r="V229" s="354"/>
      <c r="W229" s="1"/>
      <c r="X229" s="1"/>
      <c r="Y229" s="1"/>
      <c r="Z229" s="51"/>
      <c r="AA229" s="1"/>
      <c r="AB229" s="1"/>
      <c r="AC229" s="1"/>
      <c r="AD229" s="1"/>
      <c r="AE229" s="51"/>
      <c r="AF229" s="1234"/>
      <c r="AG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</row>
    <row r="230" spans="1:62" ht="18" hidden="1">
      <c r="A230" s="178"/>
      <c r="B230" s="175"/>
      <c r="C230" s="175"/>
      <c r="D230" s="1263"/>
      <c r="E230" s="1249"/>
      <c r="F230" s="1287"/>
      <c r="G230" s="175"/>
      <c r="H230" s="1263"/>
      <c r="I230" s="1249"/>
      <c r="J230" s="1287"/>
      <c r="K230" s="176"/>
      <c r="L230" s="1268"/>
      <c r="M230" s="182"/>
      <c r="N230" s="1310"/>
      <c r="O230" s="182"/>
      <c r="P230" s="1310"/>
      <c r="Q230" s="184">
        <f t="shared" si="23"/>
        <v>0</v>
      </c>
      <c r="R230" s="1350" t="e">
        <f t="shared" si="24"/>
        <v>#DIV/0!</v>
      </c>
      <c r="S230" s="184">
        <f t="shared" si="25"/>
        <v>0</v>
      </c>
      <c r="T230" s="1362" t="e">
        <f>IF('Input Page'!$F$53="Yes",S230/K230,IF('Input Page'!$F$54="Yes",S230/M230,""))</f>
        <v>#DIV/0!</v>
      </c>
      <c r="U230" s="177"/>
      <c r="V230" s="354"/>
      <c r="W230" s="1"/>
      <c r="X230" s="1"/>
      <c r="Y230" s="1"/>
      <c r="Z230" s="51"/>
      <c r="AA230" s="1"/>
      <c r="AB230" s="1"/>
      <c r="AC230" s="1"/>
      <c r="AD230" s="1"/>
      <c r="AE230" s="51"/>
      <c r="AF230" s="1234"/>
      <c r="AG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</row>
    <row r="231" spans="1:62" ht="18" hidden="1">
      <c r="A231" s="178"/>
      <c r="B231" s="175"/>
      <c r="C231" s="175"/>
      <c r="D231" s="1263"/>
      <c r="E231" s="1249"/>
      <c r="F231" s="1287"/>
      <c r="G231" s="175"/>
      <c r="H231" s="1263"/>
      <c r="I231" s="1249"/>
      <c r="J231" s="1287"/>
      <c r="K231" s="176"/>
      <c r="L231" s="1268"/>
      <c r="M231" s="182"/>
      <c r="N231" s="1310"/>
      <c r="O231" s="182"/>
      <c r="P231" s="1310"/>
      <c r="Q231" s="184">
        <f t="shared" si="23"/>
        <v>0</v>
      </c>
      <c r="R231" s="1350" t="e">
        <f t="shared" si="24"/>
        <v>#DIV/0!</v>
      </c>
      <c r="S231" s="184">
        <f t="shared" si="25"/>
        <v>0</v>
      </c>
      <c r="T231" s="1362" t="e">
        <f>IF('Input Page'!$F$53="Yes",S231/K231,IF('Input Page'!$F$54="Yes",S231/M231,""))</f>
        <v>#DIV/0!</v>
      </c>
      <c r="U231" s="177"/>
      <c r="V231" s="354"/>
      <c r="W231" s="1"/>
      <c r="X231" s="1"/>
      <c r="Y231" s="1"/>
      <c r="Z231" s="51"/>
      <c r="AA231" s="1"/>
      <c r="AB231" s="1"/>
      <c r="AC231" s="1"/>
      <c r="AD231" s="1"/>
      <c r="AE231" s="51"/>
      <c r="AF231" s="1234"/>
      <c r="AG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</row>
    <row r="232" spans="1:62" ht="18" hidden="1">
      <c r="A232" s="178"/>
      <c r="B232" s="175"/>
      <c r="C232" s="175"/>
      <c r="D232" s="1263"/>
      <c r="E232" s="1249"/>
      <c r="F232" s="1287"/>
      <c r="G232" s="175"/>
      <c r="H232" s="1263"/>
      <c r="I232" s="1249"/>
      <c r="J232" s="1287"/>
      <c r="K232" s="176"/>
      <c r="L232" s="1268"/>
      <c r="M232" s="182"/>
      <c r="N232" s="1310"/>
      <c r="O232" s="182"/>
      <c r="P232" s="1310"/>
      <c r="Q232" s="184">
        <f t="shared" si="23"/>
        <v>0</v>
      </c>
      <c r="R232" s="1350" t="e">
        <f t="shared" si="24"/>
        <v>#DIV/0!</v>
      </c>
      <c r="S232" s="184">
        <f t="shared" si="25"/>
        <v>0</v>
      </c>
      <c r="T232" s="1362" t="e">
        <f>IF('Input Page'!$F$53="Yes",S232/K232,IF('Input Page'!$F$54="Yes",S232/M232,""))</f>
        <v>#DIV/0!</v>
      </c>
      <c r="U232" s="177"/>
      <c r="V232" s="354"/>
      <c r="W232" s="1"/>
      <c r="X232" s="1"/>
      <c r="Y232" s="1"/>
      <c r="Z232" s="51"/>
      <c r="AA232" s="1"/>
      <c r="AB232" s="1"/>
      <c r="AC232" s="1"/>
      <c r="AD232" s="1"/>
      <c r="AE232" s="51"/>
      <c r="AF232" s="1234"/>
      <c r="AG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</row>
    <row r="233" spans="1:62" ht="18">
      <c r="A233" s="178"/>
      <c r="B233" s="175"/>
      <c r="C233" s="175"/>
      <c r="D233" s="1263"/>
      <c r="E233" s="1249"/>
      <c r="F233" s="1287"/>
      <c r="G233" s="175"/>
      <c r="H233" s="1263"/>
      <c r="I233" s="1249"/>
      <c r="J233" s="1287"/>
      <c r="K233" s="176"/>
      <c r="L233" s="1268"/>
      <c r="M233" s="182"/>
      <c r="N233" s="1310"/>
      <c r="O233" s="182"/>
      <c r="P233" s="1310"/>
      <c r="Q233" s="184"/>
      <c r="R233" s="1350"/>
      <c r="S233" s="184"/>
      <c r="T233" s="1362"/>
      <c r="U233" s="177"/>
      <c r="V233" s="354"/>
      <c r="W233" s="1"/>
      <c r="X233" s="1"/>
      <c r="Y233" s="1"/>
      <c r="Z233" s="51"/>
      <c r="AA233" s="1"/>
      <c r="AB233" s="1"/>
      <c r="AC233" s="1"/>
      <c r="AD233" s="1"/>
      <c r="AE233" s="51"/>
      <c r="AF233" s="1234"/>
      <c r="AG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</row>
    <row r="234" spans="1:62" ht="18">
      <c r="A234" s="178"/>
      <c r="B234" s="181" t="s">
        <v>486</v>
      </c>
      <c r="C234" s="905"/>
      <c r="D234" s="1280"/>
      <c r="E234" s="1261"/>
      <c r="F234" s="1301"/>
      <c r="G234" s="905"/>
      <c r="H234" s="1280"/>
      <c r="I234" s="1261"/>
      <c r="J234" s="1301"/>
      <c r="K234" s="906"/>
      <c r="L234" s="1305"/>
      <c r="M234" s="910">
        <f>'Input Page'!F104*'Input Page'!E181</f>
        <v>0</v>
      </c>
      <c r="N234" s="1322"/>
      <c r="O234" s="910">
        <f>'Input Page'!F125*'Input Page'!E181</f>
        <v>0</v>
      </c>
      <c r="P234" s="1310"/>
      <c r="Q234" s="184"/>
      <c r="R234" s="1350"/>
      <c r="S234" s="184"/>
      <c r="T234" s="1362"/>
      <c r="U234" s="177"/>
      <c r="V234" s="354"/>
      <c r="W234" s="1"/>
      <c r="X234" s="1"/>
      <c r="Y234" s="1"/>
      <c r="Z234" s="51"/>
      <c r="AA234" s="1"/>
      <c r="AB234" s="1"/>
      <c r="AC234" s="1"/>
      <c r="AD234" s="1"/>
      <c r="AE234" s="51"/>
      <c r="AF234" s="1234"/>
      <c r="AG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</row>
    <row r="235" spans="1:62" ht="18">
      <c r="A235" s="178"/>
      <c r="B235" s="175"/>
      <c r="C235" s="567"/>
      <c r="D235" s="1266"/>
      <c r="E235" s="1250"/>
      <c r="F235" s="1288"/>
      <c r="G235" s="567"/>
      <c r="H235" s="1266"/>
      <c r="I235" s="1250"/>
      <c r="J235" s="1288"/>
      <c r="K235" s="633"/>
      <c r="L235" s="1274"/>
      <c r="M235" s="891"/>
      <c r="N235" s="1311"/>
      <c r="O235" s="908"/>
      <c r="P235" s="1334"/>
      <c r="Q235" s="909"/>
      <c r="R235" s="1351"/>
      <c r="S235" s="909"/>
      <c r="T235" s="1362"/>
      <c r="U235" s="177"/>
      <c r="V235" s="354"/>
      <c r="W235" s="1"/>
      <c r="X235" s="1"/>
      <c r="Y235" s="1"/>
      <c r="Z235" s="51"/>
      <c r="AA235" s="1"/>
      <c r="AB235" s="1"/>
      <c r="AC235" s="1"/>
      <c r="AD235" s="1"/>
      <c r="AE235" s="51"/>
      <c r="AF235" s="1234"/>
      <c r="AG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</row>
    <row r="236" spans="1:62" ht="16.5" thickBot="1">
      <c r="A236" s="201"/>
      <c r="B236" s="918" t="s">
        <v>484</v>
      </c>
      <c r="C236" s="913">
        <f>C40-C115-C234</f>
        <v>0</v>
      </c>
      <c r="D236" s="1281"/>
      <c r="E236" s="1262">
        <f>E40-E115-E234</f>
        <v>0</v>
      </c>
      <c r="F236" s="1302"/>
      <c r="G236" s="913">
        <f>G40-G115-G234</f>
        <v>0</v>
      </c>
      <c r="H236" s="1281"/>
      <c r="I236" s="1262">
        <f>I40-I115-I234</f>
        <v>0</v>
      </c>
      <c r="J236" s="1302"/>
      <c r="K236" s="913">
        <f>K40-K115-K234</f>
        <v>0</v>
      </c>
      <c r="L236" s="1281"/>
      <c r="M236" s="911">
        <f>M40-M115-M234</f>
        <v>-34095</v>
      </c>
      <c r="N236" s="1323"/>
      <c r="O236" s="911">
        <f>O40-O115-O234</f>
        <v>-34095</v>
      </c>
      <c r="P236" s="1335"/>
      <c r="Q236" s="913">
        <f>M236-K236</f>
        <v>-34095</v>
      </c>
      <c r="R236" s="1352" t="e">
        <f t="shared" si="24"/>
        <v>#DIV/0!</v>
      </c>
      <c r="S236" s="913">
        <f t="shared" si="25"/>
        <v>-34095</v>
      </c>
      <c r="T236" s="1366">
        <f>IF('Input Page'!$F$53="Yes",S236/K236,IF('Input Page'!$F$54="Yes",S236/M236,""))</f>
        <v>1</v>
      </c>
      <c r="U236" s="203"/>
      <c r="V236" s="1213"/>
      <c r="W236" s="568"/>
      <c r="X236" s="568"/>
      <c r="Y236" s="568"/>
      <c r="Z236" s="569"/>
      <c r="AA236" s="568"/>
      <c r="AB236" s="568"/>
      <c r="AC236" s="568"/>
      <c r="AD236" s="568"/>
      <c r="AE236" s="569"/>
      <c r="AF236" s="1235"/>
      <c r="AG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</row>
    <row r="237" spans="1:62" ht="20.25">
      <c r="A237" s="178"/>
      <c r="B237" s="175"/>
      <c r="C237" s="175"/>
      <c r="D237" s="1263"/>
      <c r="E237" s="175"/>
      <c r="F237" s="1263"/>
      <c r="G237" s="175"/>
      <c r="H237" s="1263"/>
      <c r="I237" s="175"/>
      <c r="J237" s="1263"/>
      <c r="K237" s="1237"/>
      <c r="L237" s="1306"/>
      <c r="M237" s="175"/>
      <c r="N237" s="1263"/>
      <c r="O237" s="190"/>
      <c r="P237" s="1306"/>
      <c r="Q237" s="1237"/>
      <c r="R237" s="1353"/>
      <c r="S237" s="1237"/>
      <c r="T237" s="1367"/>
      <c r="U237" s="177"/>
      <c r="V237" s="1"/>
      <c r="W237" s="1"/>
      <c r="X237" s="1"/>
      <c r="Y237" s="1"/>
      <c r="Z237" s="289"/>
      <c r="AA237" s="1"/>
      <c r="AB237" s="1"/>
      <c r="AC237" s="1"/>
      <c r="AD237" s="1"/>
      <c r="AE237" s="289"/>
      <c r="AF237" s="1"/>
      <c r="AG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</row>
    <row r="238" spans="1:62" ht="18">
      <c r="A238" s="178"/>
      <c r="B238" s="175"/>
      <c r="C238" s="175"/>
      <c r="D238" s="1263"/>
      <c r="E238" s="175"/>
      <c r="F238" s="1263"/>
      <c r="G238" s="175"/>
      <c r="H238" s="1263"/>
      <c r="I238" s="175"/>
      <c r="J238" s="1263"/>
      <c r="K238" s="1237"/>
      <c r="L238" s="1307"/>
      <c r="M238" s="567"/>
      <c r="N238" s="1266"/>
      <c r="O238" s="184"/>
      <c r="P238" s="1306"/>
      <c r="Q238" s="1237"/>
      <c r="R238" s="1353"/>
      <c r="S238" s="1237"/>
      <c r="T238" s="1367"/>
      <c r="U238" s="177"/>
      <c r="V238" s="1"/>
      <c r="W238" s="1"/>
      <c r="X238" s="1"/>
      <c r="Y238" s="1"/>
      <c r="Z238" s="289"/>
      <c r="AA238" s="1"/>
      <c r="AB238" s="1"/>
      <c r="AC238" s="1"/>
      <c r="AD238" s="1"/>
      <c r="AE238" s="289"/>
      <c r="AF238" s="1"/>
      <c r="AG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</row>
    <row r="239" spans="1:62" ht="18">
      <c r="A239" s="178"/>
      <c r="B239" s="175"/>
      <c r="C239" s="175"/>
      <c r="D239" s="1263"/>
      <c r="E239" s="175"/>
      <c r="F239" s="1263"/>
      <c r="G239" s="175"/>
      <c r="H239" s="1263"/>
      <c r="I239" s="175"/>
      <c r="J239" s="1263"/>
      <c r="K239" s="1237"/>
      <c r="L239" s="1307"/>
      <c r="M239" s="567"/>
      <c r="N239" s="1266"/>
      <c r="O239" s="184"/>
      <c r="P239" s="1306"/>
      <c r="Q239" s="87"/>
      <c r="R239" s="1353"/>
      <c r="S239" s="1237"/>
      <c r="T239" s="1367"/>
      <c r="U239" s="177"/>
      <c r="V239" s="1"/>
      <c r="W239" s="1"/>
      <c r="X239" s="1"/>
      <c r="Y239" s="1"/>
      <c r="Z239" s="289"/>
      <c r="AA239" s="1"/>
      <c r="AB239" s="1"/>
      <c r="AC239" s="1"/>
      <c r="AD239" s="1"/>
      <c r="AE239" s="289"/>
      <c r="AF239" s="1"/>
      <c r="AG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</row>
    <row r="240" spans="1:62" ht="18">
      <c r="A240" s="178"/>
      <c r="B240" s="175"/>
      <c r="C240" s="175"/>
      <c r="D240" s="1263"/>
      <c r="E240" s="175"/>
      <c r="F240" s="1263"/>
      <c r="G240" s="175"/>
      <c r="H240" s="1263"/>
      <c r="I240" s="1558"/>
      <c r="J240" s="1263"/>
      <c r="K240" s="1237"/>
      <c r="L240" s="1307"/>
      <c r="M240" s="567"/>
      <c r="N240" s="1266"/>
      <c r="O240" s="184"/>
      <c r="P240" s="1306"/>
      <c r="Q240" s="1233"/>
      <c r="R240" s="1353"/>
      <c r="S240" s="1237"/>
      <c r="T240" s="1367"/>
      <c r="U240" s="177"/>
      <c r="V240" s="1"/>
      <c r="W240" s="1"/>
      <c r="X240" s="1"/>
      <c r="Y240" s="1"/>
      <c r="Z240" s="289"/>
      <c r="AA240" s="1"/>
      <c r="AB240" s="1"/>
      <c r="AC240" s="1"/>
      <c r="AD240" s="1"/>
      <c r="AE240" s="289"/>
      <c r="AF240" s="1"/>
      <c r="AG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</row>
    <row r="241" spans="1:62" ht="18">
      <c r="A241" s="178"/>
      <c r="B241" s="175"/>
      <c r="C241" s="175"/>
      <c r="D241" s="1263"/>
      <c r="E241" s="175"/>
      <c r="F241" s="1263"/>
      <c r="G241" s="175"/>
      <c r="H241" s="1263"/>
      <c r="I241" s="175"/>
      <c r="J241" s="1263"/>
      <c r="K241" s="1237"/>
      <c r="L241" s="1306"/>
      <c r="M241" s="175"/>
      <c r="N241" s="1263"/>
      <c r="O241" s="184"/>
      <c r="P241" s="1306"/>
      <c r="Q241" s="1237"/>
      <c r="R241" s="1353"/>
      <c r="S241" s="1237"/>
      <c r="T241" s="1367"/>
      <c r="U241" s="177"/>
      <c r="V241" s="1"/>
      <c r="W241" s="1"/>
      <c r="X241" s="1"/>
      <c r="Y241" s="1"/>
      <c r="Z241" s="289"/>
      <c r="AA241" s="1"/>
      <c r="AB241" s="1"/>
      <c r="AC241" s="1"/>
      <c r="AD241" s="1"/>
      <c r="AE241" s="289"/>
      <c r="AF241" s="1"/>
      <c r="AG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</row>
    <row r="242" spans="1:62" ht="16.5" thickBot="1">
      <c r="A242" s="201"/>
      <c r="B242" s="202"/>
      <c r="C242" s="202"/>
      <c r="D242" s="1282"/>
      <c r="E242" s="202"/>
      <c r="F242" s="1282"/>
      <c r="G242" s="202"/>
      <c r="H242" s="1282"/>
      <c r="I242" s="202"/>
      <c r="J242" s="1282"/>
      <c r="K242" s="202"/>
      <c r="L242" s="1282"/>
      <c r="M242" s="202"/>
      <c r="N242" s="1282"/>
      <c r="O242" s="202"/>
      <c r="P242" s="1282"/>
      <c r="Q242" s="202"/>
      <c r="R242" s="1354"/>
      <c r="S242" s="202"/>
      <c r="T242" s="1368"/>
      <c r="U242" s="203"/>
      <c r="V242" s="1"/>
      <c r="W242" s="1"/>
      <c r="X242" s="1"/>
      <c r="Y242" s="1"/>
      <c r="Z242" s="289"/>
      <c r="AA242" s="1"/>
      <c r="AB242" s="1"/>
      <c r="AC242" s="1"/>
      <c r="AD242" s="1"/>
      <c r="AE242" s="289"/>
      <c r="AF242" s="1"/>
      <c r="AG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</row>
    <row r="243" spans="1:62">
      <c r="V243" s="1"/>
      <c r="W243" s="1"/>
      <c r="X243" s="1"/>
      <c r="Y243" s="1"/>
      <c r="Z243" s="289"/>
      <c r="AA243" s="1"/>
      <c r="AB243" s="1"/>
      <c r="AC243" s="1"/>
      <c r="AD243" s="1"/>
      <c r="AE243" s="289"/>
      <c r="AF243" s="1"/>
      <c r="AG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</row>
    <row r="244" spans="1:62">
      <c r="M244" s="156" t="s">
        <v>665</v>
      </c>
      <c r="N244" s="1325"/>
      <c r="O244" s="1" t="s">
        <v>666</v>
      </c>
      <c r="V244" s="1"/>
      <c r="W244" s="1"/>
      <c r="X244" s="1"/>
      <c r="Y244" s="1"/>
      <c r="Z244" s="289"/>
      <c r="AA244" s="1"/>
      <c r="AB244" s="1"/>
      <c r="AC244" s="1"/>
      <c r="AD244" s="1"/>
      <c r="AE244" s="289"/>
      <c r="AF244" s="1"/>
      <c r="AG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</row>
    <row r="245" spans="1:62">
      <c r="V245" s="1"/>
      <c r="W245" s="1"/>
      <c r="X245" s="1"/>
      <c r="Y245" s="1"/>
      <c r="Z245" s="289"/>
      <c r="AA245" s="1"/>
      <c r="AB245" s="1"/>
      <c r="AC245" s="1"/>
      <c r="AD245" s="1"/>
      <c r="AE245" s="289"/>
      <c r="AF245" s="1"/>
      <c r="AG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</row>
    <row r="246" spans="1:62">
      <c r="V246" s="1"/>
      <c r="W246" s="1"/>
      <c r="X246" s="1"/>
      <c r="Y246" s="1"/>
      <c r="Z246" s="289"/>
      <c r="AA246" s="1"/>
      <c r="AB246" s="1"/>
      <c r="AC246" s="1"/>
      <c r="AD246" s="1"/>
      <c r="AE246" s="289"/>
      <c r="AF246" s="1"/>
      <c r="AG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</row>
    <row r="247" spans="1:62" s="1" customFormat="1">
      <c r="D247" s="1284"/>
      <c r="F247" s="1284"/>
      <c r="H247" s="1284"/>
      <c r="I247" s="289"/>
      <c r="J247" s="1284"/>
      <c r="K247" s="4" t="s">
        <v>569</v>
      </c>
      <c r="L247" s="1284"/>
      <c r="N247" s="1326"/>
      <c r="O247" s="900"/>
      <c r="P247" s="1284"/>
      <c r="R247" s="1356"/>
      <c r="T247" s="1370"/>
      <c r="Z247" s="289"/>
      <c r="AE247" s="289"/>
    </row>
    <row r="248" spans="1:62" s="1" customFormat="1">
      <c r="D248" s="1284"/>
      <c r="F248" s="1284"/>
      <c r="H248" s="1284"/>
      <c r="I248" s="289"/>
      <c r="J248" s="1284"/>
      <c r="L248" s="1284"/>
      <c r="M248" s="898" t="s">
        <v>563</v>
      </c>
      <c r="N248" s="1327" t="s">
        <v>564</v>
      </c>
      <c r="O248" s="901" t="s">
        <v>565</v>
      </c>
      <c r="P248" s="1336" t="s">
        <v>566</v>
      </c>
      <c r="R248" s="1356"/>
      <c r="T248" s="1370"/>
      <c r="Z248" s="289"/>
      <c r="AE248" s="289"/>
    </row>
    <row r="249" spans="1:62" s="1" customFormat="1">
      <c r="D249" s="1284"/>
      <c r="F249" s="1284"/>
      <c r="H249" s="1284"/>
      <c r="I249" s="289"/>
      <c r="J249" s="1284"/>
      <c r="K249" s="896" t="str">
        <f>$B$43</f>
        <v>Administrative Expenses</v>
      </c>
      <c r="L249" s="58"/>
      <c r="M249" s="570">
        <f>$M$64</f>
        <v>0</v>
      </c>
      <c r="N249" s="1328" t="e">
        <f>$M$249/'Unit Mix'!$D$39</f>
        <v>#DIV/0!</v>
      </c>
      <c r="O249" s="902">
        <f>$O$64</f>
        <v>0</v>
      </c>
      <c r="P249" s="1337" t="e">
        <f>$O$249/'Unit Mix'!$D$39</f>
        <v>#DIV/0!</v>
      </c>
      <c r="R249" s="1356"/>
      <c r="T249" s="1370"/>
      <c r="Z249" s="289"/>
      <c r="AE249" s="289"/>
    </row>
    <row r="250" spans="1:62" s="1" customFormat="1">
      <c r="D250" s="1284"/>
      <c r="F250" s="1284"/>
      <c r="H250" s="1284"/>
      <c r="I250" s="289"/>
      <c r="J250" s="1284"/>
      <c r="K250" s="896" t="str">
        <f>$B$77</f>
        <v>Operating/Maint. Expenses</v>
      </c>
      <c r="L250" s="58"/>
      <c r="M250" s="570">
        <f>$M$101</f>
        <v>30000</v>
      </c>
      <c r="N250" s="1328" t="e">
        <f>$M$250/'Unit Mix'!$D$39</f>
        <v>#DIV/0!</v>
      </c>
      <c r="O250" s="902">
        <f>$O$101</f>
        <v>30000</v>
      </c>
      <c r="P250" s="1337" t="e">
        <f>$O$250/'Unit Mix'!$D$39</f>
        <v>#DIV/0!</v>
      </c>
      <c r="R250" s="1356"/>
      <c r="T250" s="1370"/>
      <c r="Z250" s="289"/>
      <c r="AE250" s="289"/>
    </row>
    <row r="251" spans="1:62" s="1" customFormat="1">
      <c r="D251" s="1284"/>
      <c r="F251" s="1284"/>
      <c r="H251" s="1284"/>
      <c r="I251" s="289"/>
      <c r="J251" s="1284"/>
      <c r="K251" s="896" t="str">
        <f>$B$104</f>
        <v>Taxes &amp; Insurance</v>
      </c>
      <c r="L251" s="58"/>
      <c r="M251" s="570">
        <f>$M$113-$M$108-$M$105</f>
        <v>4095</v>
      </c>
      <c r="N251" s="1328" t="e">
        <f>$M$251/'Unit Mix'!$D$39</f>
        <v>#DIV/0!</v>
      </c>
      <c r="O251" s="902">
        <f>$O$113-$O$108-$O$105</f>
        <v>4095</v>
      </c>
      <c r="P251" s="1337" t="e">
        <f>$O$251/'Unit Mix'!$D$39</f>
        <v>#DIV/0!</v>
      </c>
      <c r="R251" s="1356"/>
      <c r="T251" s="1370"/>
      <c r="Z251" s="289"/>
      <c r="AE251" s="289"/>
    </row>
    <row r="252" spans="1:62" s="1" customFormat="1">
      <c r="D252" s="1284"/>
      <c r="F252" s="1284"/>
      <c r="H252" s="1284"/>
      <c r="I252" s="289"/>
      <c r="J252" s="1284"/>
      <c r="K252" s="896" t="s">
        <v>571</v>
      </c>
      <c r="L252" s="58"/>
      <c r="M252" s="579"/>
      <c r="N252" s="1329"/>
      <c r="O252" s="903"/>
      <c r="P252" s="1338"/>
      <c r="R252" s="1356"/>
      <c r="T252" s="1370"/>
      <c r="Z252" s="289"/>
      <c r="AE252" s="289"/>
    </row>
    <row r="253" spans="1:62" s="1" customFormat="1">
      <c r="D253" s="1284"/>
      <c r="F253" s="1284"/>
      <c r="H253" s="1284"/>
      <c r="I253" s="289"/>
      <c r="J253" s="1284"/>
      <c r="L253" s="1284"/>
      <c r="M253" s="899">
        <f>SUM($M$249:$M$252)</f>
        <v>34095</v>
      </c>
      <c r="N253" s="1330" t="e">
        <f>SUM($N$249:$N$252)</f>
        <v>#DIV/0!</v>
      </c>
      <c r="O253" s="904">
        <f>SUM($O$249:$O$252)</f>
        <v>34095</v>
      </c>
      <c r="P253" s="1339" t="e">
        <f>SUM($P$249:$P$252)</f>
        <v>#DIV/0!</v>
      </c>
      <c r="R253" s="1356"/>
      <c r="T253" s="1370"/>
      <c r="Z253" s="289"/>
      <c r="AE253" s="289"/>
    </row>
    <row r="254" spans="1:62" s="1" customFormat="1">
      <c r="D254" s="1284"/>
      <c r="F254" s="1284"/>
      <c r="H254" s="1284"/>
      <c r="I254" s="289"/>
      <c r="J254" s="1284"/>
      <c r="L254" s="1284"/>
      <c r="M254" s="897"/>
      <c r="N254" s="1331"/>
      <c r="O254" s="897"/>
      <c r="P254" s="1340"/>
      <c r="R254" s="1356"/>
      <c r="T254" s="1370"/>
      <c r="Z254" s="289"/>
      <c r="AE254" s="289"/>
    </row>
    <row r="255" spans="1:62" s="1" customFormat="1">
      <c r="D255" s="1284"/>
      <c r="F255" s="1284"/>
      <c r="H255" s="1284"/>
      <c r="I255" s="289"/>
      <c r="J255" s="1284"/>
      <c r="L255" s="1284"/>
      <c r="M255" s="897"/>
      <c r="N255" s="1331"/>
      <c r="O255" s="897"/>
      <c r="P255" s="1340"/>
      <c r="R255" s="1356"/>
      <c r="T255" s="1370"/>
      <c r="Z255" s="289"/>
      <c r="AE255" s="289"/>
    </row>
    <row r="256" spans="1:62" s="1" customFormat="1">
      <c r="D256" s="1284"/>
      <c r="F256" s="1284"/>
      <c r="H256" s="1284"/>
      <c r="I256" s="289"/>
      <c r="J256" s="1284"/>
      <c r="L256" s="1284"/>
      <c r="M256" s="897"/>
      <c r="N256" s="1331"/>
      <c r="O256" s="897"/>
      <c r="P256" s="1340"/>
      <c r="R256" s="1356"/>
      <c r="T256" s="1370"/>
      <c r="Z256" s="289"/>
      <c r="AE256" s="289"/>
    </row>
    <row r="257" spans="4:31" s="1" customFormat="1">
      <c r="D257" s="1284"/>
      <c r="F257" s="1284"/>
      <c r="H257" s="1284"/>
      <c r="I257" s="289"/>
      <c r="J257" s="1284"/>
      <c r="L257" s="1284"/>
      <c r="N257" s="1326"/>
      <c r="P257" s="1284"/>
      <c r="R257" s="1356"/>
      <c r="T257" s="1370"/>
      <c r="Z257" s="289"/>
      <c r="AE257" s="289"/>
    </row>
    <row r="258" spans="4:31" s="1" customFormat="1">
      <c r="D258" s="1284"/>
      <c r="F258" s="1284"/>
      <c r="H258" s="1284"/>
      <c r="I258" s="289"/>
      <c r="J258" s="1284"/>
      <c r="L258" s="1284"/>
      <c r="N258" s="1326"/>
      <c r="P258" s="1284"/>
      <c r="R258" s="1356"/>
      <c r="T258" s="1370"/>
      <c r="Z258" s="289"/>
      <c r="AE258" s="289"/>
    </row>
    <row r="259" spans="4:31" s="1" customFormat="1">
      <c r="D259" s="1284"/>
      <c r="F259" s="1284"/>
      <c r="H259" s="1284"/>
      <c r="I259" s="289"/>
      <c r="J259" s="1284"/>
      <c r="L259" s="1284"/>
      <c r="N259" s="1326"/>
      <c r="P259" s="1284"/>
      <c r="R259" s="1356"/>
      <c r="T259" s="1370"/>
      <c r="Z259" s="289"/>
      <c r="AE259" s="289"/>
    </row>
    <row r="260" spans="4:31" s="1" customFormat="1">
      <c r="D260" s="1284"/>
      <c r="F260" s="1284"/>
      <c r="H260" s="1284"/>
      <c r="I260" s="289"/>
      <c r="J260" s="1284"/>
      <c r="L260" s="1284"/>
      <c r="N260" s="1326"/>
      <c r="P260" s="1284"/>
      <c r="R260" s="1356"/>
      <c r="T260" s="1370"/>
      <c r="Z260" s="289"/>
      <c r="AE260" s="289"/>
    </row>
    <row r="261" spans="4:31" s="1" customFormat="1">
      <c r="D261" s="1284"/>
      <c r="F261" s="1284"/>
      <c r="H261" s="1284"/>
      <c r="I261" s="289"/>
      <c r="J261" s="1284"/>
      <c r="L261" s="1284"/>
      <c r="N261" s="1326"/>
      <c r="P261" s="1284"/>
      <c r="R261" s="1356"/>
      <c r="T261" s="1370"/>
      <c r="Z261" s="289"/>
      <c r="AE261" s="289"/>
    </row>
    <row r="262" spans="4:31" s="1" customFormat="1">
      <c r="D262" s="1284"/>
      <c r="F262" s="1284"/>
      <c r="H262" s="1284"/>
      <c r="I262" s="289"/>
      <c r="J262" s="1284"/>
      <c r="L262" s="1284"/>
      <c r="N262" s="1326"/>
      <c r="P262" s="1284"/>
      <c r="R262" s="1356"/>
      <c r="T262" s="1370"/>
      <c r="Z262" s="289"/>
      <c r="AE262" s="289"/>
    </row>
    <row r="263" spans="4:31" s="1" customFormat="1">
      <c r="D263" s="1284"/>
      <c r="F263" s="1284"/>
      <c r="H263" s="1284"/>
      <c r="I263" s="289"/>
      <c r="J263" s="1284"/>
      <c r="L263" s="1284"/>
      <c r="N263" s="1326"/>
      <c r="P263" s="1284"/>
      <c r="R263" s="1356"/>
      <c r="T263" s="1370"/>
      <c r="Z263" s="289"/>
      <c r="AE263" s="289"/>
    </row>
    <row r="264" spans="4:31" s="1" customFormat="1">
      <c r="D264" s="1284"/>
      <c r="F264" s="1284"/>
      <c r="H264" s="1284"/>
      <c r="I264" s="289"/>
      <c r="J264" s="1284"/>
      <c r="L264" s="1284"/>
      <c r="N264" s="1326"/>
      <c r="P264" s="1284"/>
      <c r="R264" s="1356"/>
      <c r="T264" s="1370"/>
      <c r="Z264" s="289"/>
      <c r="AE264" s="289"/>
    </row>
    <row r="265" spans="4:31" s="1" customFormat="1">
      <c r="D265" s="1284"/>
      <c r="F265" s="1284"/>
      <c r="H265" s="1284"/>
      <c r="I265" s="289"/>
      <c r="J265" s="1284"/>
      <c r="L265" s="1284"/>
      <c r="N265" s="1326"/>
      <c r="P265" s="1284"/>
      <c r="R265" s="1356"/>
      <c r="T265" s="1370"/>
      <c r="Z265" s="289"/>
      <c r="AE265" s="289"/>
    </row>
    <row r="266" spans="4:31" s="1" customFormat="1">
      <c r="D266" s="1284"/>
      <c r="F266" s="1284"/>
      <c r="H266" s="1284"/>
      <c r="I266" s="289"/>
      <c r="J266" s="1284"/>
      <c r="L266" s="1284"/>
      <c r="N266" s="1326"/>
      <c r="P266" s="1284"/>
      <c r="R266" s="1356"/>
      <c r="T266" s="1370"/>
      <c r="Z266" s="289"/>
      <c r="AE266" s="289"/>
    </row>
    <row r="267" spans="4:31" s="1" customFormat="1">
      <c r="D267" s="1284"/>
      <c r="F267" s="1284"/>
      <c r="H267" s="1284"/>
      <c r="I267" s="289"/>
      <c r="J267" s="1284"/>
      <c r="L267" s="1284"/>
      <c r="N267" s="1326"/>
      <c r="P267" s="1284"/>
      <c r="R267" s="1356"/>
      <c r="T267" s="1370"/>
      <c r="Z267" s="289"/>
      <c r="AE267" s="289"/>
    </row>
    <row r="268" spans="4:31" s="1" customFormat="1">
      <c r="D268" s="1284"/>
      <c r="F268" s="1284"/>
      <c r="H268" s="1284"/>
      <c r="I268" s="289"/>
      <c r="J268" s="1284"/>
      <c r="L268" s="1284"/>
      <c r="N268" s="1326"/>
      <c r="P268" s="1284"/>
      <c r="R268" s="1356"/>
      <c r="T268" s="1370"/>
      <c r="Z268" s="289"/>
      <c r="AE268" s="289"/>
    </row>
    <row r="269" spans="4:31" s="1" customFormat="1">
      <c r="D269" s="1284"/>
      <c r="F269" s="1284"/>
      <c r="H269" s="1284"/>
      <c r="I269" s="289"/>
      <c r="J269" s="1284"/>
      <c r="L269" s="1284"/>
      <c r="N269" s="1326"/>
      <c r="P269" s="1284"/>
      <c r="R269" s="1356"/>
      <c r="T269" s="1370"/>
      <c r="Z269" s="289"/>
      <c r="AE269" s="289"/>
    </row>
    <row r="270" spans="4:31" s="1" customFormat="1">
      <c r="D270" s="1284"/>
      <c r="F270" s="1284"/>
      <c r="H270" s="1284"/>
      <c r="I270" s="289"/>
      <c r="J270" s="1284"/>
      <c r="L270" s="1284"/>
      <c r="N270" s="1326"/>
      <c r="P270" s="1284"/>
      <c r="R270" s="1356"/>
      <c r="T270" s="1370"/>
      <c r="Z270" s="289"/>
      <c r="AE270" s="289"/>
    </row>
    <row r="271" spans="4:31" s="1" customFormat="1">
      <c r="D271" s="1284"/>
      <c r="F271" s="1284"/>
      <c r="H271" s="1284"/>
      <c r="I271" s="289"/>
      <c r="J271" s="1284"/>
      <c r="L271" s="1284"/>
      <c r="N271" s="1326"/>
      <c r="P271" s="1284"/>
      <c r="R271" s="1356"/>
      <c r="T271" s="1370"/>
      <c r="Z271" s="289"/>
      <c r="AE271" s="289"/>
    </row>
    <row r="272" spans="4:31" s="1" customFormat="1">
      <c r="D272" s="1284"/>
      <c r="F272" s="1284"/>
      <c r="H272" s="1284"/>
      <c r="I272" s="289"/>
      <c r="J272" s="1284"/>
      <c r="L272" s="1284"/>
      <c r="N272" s="1326"/>
      <c r="P272" s="1284"/>
      <c r="R272" s="1356"/>
      <c r="T272" s="1370"/>
      <c r="Z272" s="289"/>
      <c r="AE272" s="289"/>
    </row>
    <row r="273" spans="4:31" s="1" customFormat="1">
      <c r="D273" s="1284"/>
      <c r="F273" s="1284"/>
      <c r="H273" s="1284"/>
      <c r="I273" s="289"/>
      <c r="J273" s="1284"/>
      <c r="L273" s="1284"/>
      <c r="N273" s="1326"/>
      <c r="P273" s="1284"/>
      <c r="R273" s="1356"/>
      <c r="T273" s="1370"/>
      <c r="Z273" s="289"/>
      <c r="AE273" s="289"/>
    </row>
    <row r="274" spans="4:31" s="1" customFormat="1">
      <c r="D274" s="1284"/>
      <c r="F274" s="1284"/>
      <c r="H274" s="1284"/>
      <c r="I274" s="289"/>
      <c r="J274" s="1284"/>
      <c r="L274" s="1284"/>
      <c r="N274" s="1326"/>
      <c r="P274" s="1284"/>
      <c r="R274" s="1356"/>
      <c r="T274" s="1370"/>
      <c r="Z274" s="289"/>
      <c r="AE274" s="289"/>
    </row>
    <row r="275" spans="4:31" s="1" customFormat="1">
      <c r="D275" s="1284"/>
      <c r="F275" s="1284"/>
      <c r="H275" s="1284"/>
      <c r="I275" s="289"/>
      <c r="J275" s="1284"/>
      <c r="L275" s="1284"/>
      <c r="N275" s="1326"/>
      <c r="P275" s="1284"/>
      <c r="R275" s="1356"/>
      <c r="T275" s="1370"/>
      <c r="Z275" s="289"/>
      <c r="AE275" s="289"/>
    </row>
    <row r="276" spans="4:31" s="1" customFormat="1">
      <c r="D276" s="1284"/>
      <c r="F276" s="1284"/>
      <c r="H276" s="1284"/>
      <c r="I276" s="289"/>
      <c r="J276" s="1284"/>
      <c r="L276" s="1284"/>
      <c r="N276" s="1326"/>
      <c r="P276" s="1284"/>
      <c r="R276" s="1356"/>
      <c r="T276" s="1370"/>
      <c r="Z276" s="289"/>
      <c r="AE276" s="289"/>
    </row>
    <row r="277" spans="4:31" s="1" customFormat="1">
      <c r="D277" s="1284"/>
      <c r="F277" s="1284"/>
      <c r="H277" s="1284"/>
      <c r="I277" s="289"/>
      <c r="J277" s="1284"/>
      <c r="L277" s="1284"/>
      <c r="N277" s="1326"/>
      <c r="P277" s="1284"/>
      <c r="R277" s="1356"/>
      <c r="T277" s="1370"/>
      <c r="Z277" s="289"/>
      <c r="AE277" s="289"/>
    </row>
    <row r="278" spans="4:31" s="1" customFormat="1">
      <c r="D278" s="1284"/>
      <c r="F278" s="1284"/>
      <c r="H278" s="1284"/>
      <c r="I278" s="289"/>
      <c r="J278" s="1284"/>
      <c r="L278" s="1284"/>
      <c r="N278" s="1326"/>
      <c r="P278" s="1284"/>
      <c r="R278" s="1356"/>
      <c r="T278" s="1370"/>
      <c r="Z278" s="289"/>
      <c r="AE278" s="289"/>
    </row>
  </sheetData>
  <mergeCells count="12">
    <mergeCell ref="A1:P1"/>
    <mergeCell ref="A2:P2"/>
    <mergeCell ref="K5:L5"/>
    <mergeCell ref="C5:D5"/>
    <mergeCell ref="E5:F5"/>
    <mergeCell ref="V105:AF105"/>
    <mergeCell ref="Q5:R5"/>
    <mergeCell ref="G5:H5"/>
    <mergeCell ref="I5:J5"/>
    <mergeCell ref="S5:T5"/>
    <mergeCell ref="O5:P5"/>
    <mergeCell ref="M5:N5"/>
  </mergeCells>
  <conditionalFormatting sqref="T30:T31 T38:T39 T42:T43 T66:T67 T76:T77 T103:T104 T114 T116:T236 T8:T24 R8:R236">
    <cfRule type="cellIs" dxfId="183" priority="197" operator="equal">
      <formula>0</formula>
    </cfRule>
    <cfRule type="cellIs" dxfId="182" priority="200" operator="lessThan">
      <formula>-0.15</formula>
    </cfRule>
    <cfRule type="cellIs" dxfId="181" priority="201" operator="greaterThan">
      <formula>0.15</formula>
    </cfRule>
  </conditionalFormatting>
  <conditionalFormatting sqref="K10:K13">
    <cfRule type="containsBlanks" dxfId="180" priority="347">
      <formula>LEN(TRIM(K10))=0</formula>
    </cfRule>
  </conditionalFormatting>
  <conditionalFormatting sqref="O8">
    <cfRule type="containsBlanks" dxfId="179" priority="176">
      <formula>LEN(TRIM(O8))=0</formula>
    </cfRule>
  </conditionalFormatting>
  <conditionalFormatting sqref="G8:G13">
    <cfRule type="containsBlanks" dxfId="178" priority="350">
      <formula>LEN(TRIM(G8))=0</formula>
    </cfRule>
  </conditionalFormatting>
  <conditionalFormatting sqref="M8">
    <cfRule type="containsBlanks" dxfId="177" priority="179">
      <formula>LEN(TRIM(M8))=0</formula>
    </cfRule>
  </conditionalFormatting>
  <conditionalFormatting sqref="M9">
    <cfRule type="containsBlanks" dxfId="176" priority="178">
      <formula>LEN(TRIM(M9))=0</formula>
    </cfRule>
  </conditionalFormatting>
  <conditionalFormatting sqref="M10:M13">
    <cfRule type="containsBlanks" dxfId="175" priority="177">
      <formula>LEN(TRIM(M10))=0</formula>
    </cfRule>
  </conditionalFormatting>
  <conditionalFormatting sqref="O9">
    <cfRule type="containsBlanks" dxfId="174" priority="175">
      <formula>LEN(TRIM(O9))=0</formula>
    </cfRule>
  </conditionalFormatting>
  <conditionalFormatting sqref="O10:O13">
    <cfRule type="containsBlanks" dxfId="173" priority="174">
      <formula>LEN(TRIM(O10))=0</formula>
    </cfRule>
  </conditionalFormatting>
  <conditionalFormatting sqref="K25:K28">
    <cfRule type="containsBlanks" dxfId="172" priority="169">
      <formula>LEN(TRIM(K25))=0</formula>
    </cfRule>
  </conditionalFormatting>
  <conditionalFormatting sqref="M25:M28">
    <cfRule type="containsBlanks" dxfId="171" priority="168">
      <formula>LEN(TRIM(M25))=0</formula>
    </cfRule>
  </conditionalFormatting>
  <conditionalFormatting sqref="O25:O28">
    <cfRule type="containsBlanks" dxfId="170" priority="167">
      <formula>LEN(TRIM(O25))=0</formula>
    </cfRule>
  </conditionalFormatting>
  <conditionalFormatting sqref="K32:K36">
    <cfRule type="containsBlanks" dxfId="169" priority="153">
      <formula>LEN(TRIM(K32))=0</formula>
    </cfRule>
  </conditionalFormatting>
  <conditionalFormatting sqref="M32:M36">
    <cfRule type="containsBlanks" dxfId="168" priority="152">
      <formula>LEN(TRIM(M32))=0</formula>
    </cfRule>
  </conditionalFormatting>
  <conditionalFormatting sqref="O32:O36">
    <cfRule type="containsBlanks" dxfId="167" priority="151">
      <formula>LEN(TRIM(O32))=0</formula>
    </cfRule>
  </conditionalFormatting>
  <conditionalFormatting sqref="T40:T41">
    <cfRule type="cellIs" dxfId="166" priority="142" operator="equal">
      <formula>0</formula>
    </cfRule>
    <cfRule type="cellIs" dxfId="165" priority="143" operator="lessThan">
      <formula>-0.14</formula>
    </cfRule>
    <cfRule type="cellIs" dxfId="164" priority="144" operator="greaterThan">
      <formula>1.14</formula>
    </cfRule>
  </conditionalFormatting>
  <conditionalFormatting sqref="K73">
    <cfRule type="containsBlanks" dxfId="163" priority="116">
      <formula>LEN(TRIM(K73))=0</formula>
    </cfRule>
  </conditionalFormatting>
  <conditionalFormatting sqref="K17:K18">
    <cfRule type="containsBlanks" dxfId="162" priority="137">
      <formula>LEN(TRIM(K17))=0</formula>
    </cfRule>
  </conditionalFormatting>
  <conditionalFormatting sqref="M18">
    <cfRule type="containsBlanks" dxfId="161" priority="136">
      <formula>LEN(TRIM(M18))=0</formula>
    </cfRule>
  </conditionalFormatting>
  <conditionalFormatting sqref="O18">
    <cfRule type="containsBlanks" dxfId="160" priority="135">
      <formula>LEN(TRIM(O18))=0</formula>
    </cfRule>
  </conditionalFormatting>
  <conditionalFormatting sqref="M17">
    <cfRule type="containsBlanks" dxfId="159" priority="134">
      <formula>LEN(TRIM(M17))=0</formula>
    </cfRule>
  </conditionalFormatting>
  <conditionalFormatting sqref="O17">
    <cfRule type="containsBlanks" dxfId="158" priority="133">
      <formula>LEN(TRIM(O17))=0</formula>
    </cfRule>
  </conditionalFormatting>
  <conditionalFormatting sqref="K44:K63">
    <cfRule type="containsBlanks" dxfId="157" priority="128">
      <formula>LEN(TRIM(K44))=0</formula>
    </cfRule>
  </conditionalFormatting>
  <conditionalFormatting sqref="M44:M63">
    <cfRule type="containsBlanks" dxfId="156" priority="127">
      <formula>LEN(TRIM(M44))=0</formula>
    </cfRule>
  </conditionalFormatting>
  <conditionalFormatting sqref="T65">
    <cfRule type="cellIs" dxfId="155" priority="123" operator="equal">
      <formula>0</formula>
    </cfRule>
    <cfRule type="cellIs" dxfId="154" priority="124" operator="lessThan">
      <formula>-0.14</formula>
    </cfRule>
    <cfRule type="cellIs" dxfId="153" priority="125" operator="greaterThan">
      <formula>1.14</formula>
    </cfRule>
  </conditionalFormatting>
  <conditionalFormatting sqref="K68:K72">
    <cfRule type="containsBlanks" dxfId="152" priority="117">
      <formula>LEN(TRIM(K68))=0</formula>
    </cfRule>
  </conditionalFormatting>
  <conditionalFormatting sqref="M68:M73">
    <cfRule type="containsBlanks" dxfId="151" priority="115">
      <formula>LEN(TRIM(M68))=0</formula>
    </cfRule>
  </conditionalFormatting>
  <conditionalFormatting sqref="T75">
    <cfRule type="cellIs" dxfId="150" priority="111" operator="equal">
      <formula>0</formula>
    </cfRule>
    <cfRule type="cellIs" dxfId="149" priority="112" operator="lessThan">
      <formula>-0.14</formula>
    </cfRule>
    <cfRule type="cellIs" dxfId="148" priority="113" operator="greaterThan">
      <formula>1.14</formula>
    </cfRule>
  </conditionalFormatting>
  <conditionalFormatting sqref="K78:K100">
    <cfRule type="containsBlanks" dxfId="147" priority="106">
      <formula>LEN(TRIM(K78))=0</formula>
    </cfRule>
  </conditionalFormatting>
  <conditionalFormatting sqref="M78:M100">
    <cfRule type="containsBlanks" dxfId="146" priority="105">
      <formula>LEN(TRIM(M78))=0</formula>
    </cfRule>
  </conditionalFormatting>
  <conditionalFormatting sqref="T102">
    <cfRule type="cellIs" dxfId="145" priority="101" operator="equal">
      <formula>0</formula>
    </cfRule>
    <cfRule type="cellIs" dxfId="144" priority="102" operator="lessThan">
      <formula>-0.14</formula>
    </cfRule>
    <cfRule type="cellIs" dxfId="143" priority="103" operator="greaterThan">
      <formula>1.14</formula>
    </cfRule>
  </conditionalFormatting>
  <conditionalFormatting sqref="I105:I112">
    <cfRule type="containsBlanks" dxfId="142" priority="97">
      <formula>LEN(TRIM(I105))=0</formula>
    </cfRule>
  </conditionalFormatting>
  <conditionalFormatting sqref="M105:M112">
    <cfRule type="containsBlanks" dxfId="141" priority="95">
      <formula>LEN(TRIM(M105))=0</formula>
    </cfRule>
  </conditionalFormatting>
  <conditionalFormatting sqref="K105:K112">
    <cfRule type="containsBlanks" dxfId="140" priority="96">
      <formula>LEN(TRIM(K105))=0</formula>
    </cfRule>
  </conditionalFormatting>
  <conditionalFormatting sqref="O68:O73">
    <cfRule type="containsBlanks" dxfId="139" priority="81">
      <formula>LEN(TRIM(O68))=0</formula>
    </cfRule>
  </conditionalFormatting>
  <conditionalFormatting sqref="O44:O58">
    <cfRule type="containsBlanks" dxfId="138" priority="83">
      <formula>LEN(TRIM(O44))=0</formula>
    </cfRule>
  </conditionalFormatting>
  <conditionalFormatting sqref="O59:O63">
    <cfRule type="containsBlanks" dxfId="137" priority="82">
      <formula>LEN(TRIM(O59))=0</formula>
    </cfRule>
  </conditionalFormatting>
  <conditionalFormatting sqref="O78:O100">
    <cfRule type="containsBlanks" dxfId="136" priority="80">
      <formula>LEN(TRIM(O78))=0</formula>
    </cfRule>
  </conditionalFormatting>
  <conditionalFormatting sqref="O105:O112">
    <cfRule type="containsBlanks" dxfId="135" priority="79">
      <formula>LEN(TRIM(O105))=0</formula>
    </cfRule>
  </conditionalFormatting>
  <conditionalFormatting sqref="C13">
    <cfRule type="containsBlanks" dxfId="134" priority="78">
      <formula>LEN(TRIM(C13))=0</formula>
    </cfRule>
  </conditionalFormatting>
  <conditionalFormatting sqref="E13">
    <cfRule type="containsBlanks" dxfId="133" priority="77">
      <formula>LEN(TRIM(E13))=0</formula>
    </cfRule>
  </conditionalFormatting>
  <conditionalFormatting sqref="C18">
    <cfRule type="containsBlanks" dxfId="132" priority="76">
      <formula>LEN(TRIM(C18))=0</formula>
    </cfRule>
  </conditionalFormatting>
  <conditionalFormatting sqref="E18">
    <cfRule type="containsBlanks" dxfId="131" priority="75">
      <formula>LEN(TRIM(E18))=0</formula>
    </cfRule>
  </conditionalFormatting>
  <conditionalFormatting sqref="G18">
    <cfRule type="containsBlanks" dxfId="130" priority="74">
      <formula>LEN(TRIM(G18))=0</formula>
    </cfRule>
  </conditionalFormatting>
  <conditionalFormatting sqref="G28">
    <cfRule type="containsBlanks" dxfId="129" priority="73">
      <formula>LEN(TRIM(G28))=0</formula>
    </cfRule>
  </conditionalFormatting>
  <conditionalFormatting sqref="E28">
    <cfRule type="containsBlanks" dxfId="128" priority="72">
      <formula>LEN(TRIM(E28))=0</formula>
    </cfRule>
  </conditionalFormatting>
  <conditionalFormatting sqref="C28">
    <cfRule type="containsBlanks" dxfId="127" priority="71">
      <formula>LEN(TRIM(C28))=0</formula>
    </cfRule>
  </conditionalFormatting>
  <conditionalFormatting sqref="C36">
    <cfRule type="containsBlanks" dxfId="126" priority="70">
      <formula>LEN(TRIM(C36))=0</formula>
    </cfRule>
  </conditionalFormatting>
  <conditionalFormatting sqref="E36">
    <cfRule type="containsBlanks" dxfId="125" priority="69">
      <formula>LEN(TRIM(E36))=0</formula>
    </cfRule>
  </conditionalFormatting>
  <conditionalFormatting sqref="G36">
    <cfRule type="containsBlanks" dxfId="124" priority="68">
      <formula>LEN(TRIM(G36))=0</formula>
    </cfRule>
  </conditionalFormatting>
  <conditionalFormatting sqref="G62:G63">
    <cfRule type="containsBlanks" dxfId="123" priority="67">
      <formula>LEN(TRIM(G62))=0</formula>
    </cfRule>
  </conditionalFormatting>
  <conditionalFormatting sqref="E62:E63">
    <cfRule type="containsBlanks" dxfId="122" priority="66">
      <formula>LEN(TRIM(E62))=0</formula>
    </cfRule>
  </conditionalFormatting>
  <conditionalFormatting sqref="C62:C63">
    <cfRule type="containsBlanks" dxfId="121" priority="65">
      <formula>LEN(TRIM(C62))=0</formula>
    </cfRule>
  </conditionalFormatting>
  <conditionalFormatting sqref="C73">
    <cfRule type="containsBlanks" dxfId="120" priority="64">
      <formula>LEN(TRIM(C73))=0</formula>
    </cfRule>
  </conditionalFormatting>
  <conditionalFormatting sqref="E73">
    <cfRule type="containsBlanks" dxfId="119" priority="63">
      <formula>LEN(TRIM(E73))=0</formula>
    </cfRule>
  </conditionalFormatting>
  <conditionalFormatting sqref="G73">
    <cfRule type="containsBlanks" dxfId="118" priority="62">
      <formula>LEN(TRIM(G73))=0</formula>
    </cfRule>
  </conditionalFormatting>
  <conditionalFormatting sqref="G100">
    <cfRule type="containsBlanks" dxfId="117" priority="61">
      <formula>LEN(TRIM(G100))=0</formula>
    </cfRule>
  </conditionalFormatting>
  <conditionalFormatting sqref="E100">
    <cfRule type="containsBlanks" dxfId="116" priority="60">
      <formula>LEN(TRIM(E100))=0</formula>
    </cfRule>
  </conditionalFormatting>
  <conditionalFormatting sqref="C100">
    <cfRule type="containsBlanks" dxfId="115" priority="59">
      <formula>LEN(TRIM(C100))=0</formula>
    </cfRule>
  </conditionalFormatting>
  <conditionalFormatting sqref="C112">
    <cfRule type="containsBlanks" dxfId="114" priority="58">
      <formula>LEN(TRIM(C112))=0</formula>
    </cfRule>
  </conditionalFormatting>
  <conditionalFormatting sqref="E112">
    <cfRule type="containsBlanks" dxfId="113" priority="57">
      <formula>LEN(TRIM(E112))=0</formula>
    </cfRule>
  </conditionalFormatting>
  <conditionalFormatting sqref="G112">
    <cfRule type="containsBlanks" dxfId="112" priority="56">
      <formula>LEN(TRIM(G112))=0</formula>
    </cfRule>
  </conditionalFormatting>
  <conditionalFormatting sqref="C8:C12">
    <cfRule type="containsBlanks" dxfId="111" priority="55">
      <formula>LEN(TRIM(C8))=0</formula>
    </cfRule>
  </conditionalFormatting>
  <conditionalFormatting sqref="E8:E12">
    <cfRule type="containsBlanks" dxfId="110" priority="54">
      <formula>LEN(TRIM(E8))=0</formula>
    </cfRule>
  </conditionalFormatting>
  <conditionalFormatting sqref="G17">
    <cfRule type="containsBlanks" dxfId="109" priority="53">
      <formula>LEN(TRIM(G17))=0</formula>
    </cfRule>
  </conditionalFormatting>
  <conditionalFormatting sqref="E17">
    <cfRule type="containsBlanks" dxfId="108" priority="52">
      <formula>LEN(TRIM(E17))=0</formula>
    </cfRule>
  </conditionalFormatting>
  <conditionalFormatting sqref="C17">
    <cfRule type="containsBlanks" dxfId="107" priority="51">
      <formula>LEN(TRIM(C17))=0</formula>
    </cfRule>
  </conditionalFormatting>
  <conditionalFormatting sqref="C25:C27">
    <cfRule type="containsBlanks" dxfId="106" priority="50">
      <formula>LEN(TRIM(C25))=0</formula>
    </cfRule>
  </conditionalFormatting>
  <conditionalFormatting sqref="E25:E27">
    <cfRule type="containsBlanks" dxfId="105" priority="49">
      <formula>LEN(TRIM(E25))=0</formula>
    </cfRule>
  </conditionalFormatting>
  <conditionalFormatting sqref="G25:G27">
    <cfRule type="containsBlanks" dxfId="104" priority="48">
      <formula>LEN(TRIM(G25))=0</formula>
    </cfRule>
  </conditionalFormatting>
  <conditionalFormatting sqref="G32:G35">
    <cfRule type="containsBlanks" dxfId="103" priority="47">
      <formula>LEN(TRIM(G32))=0</formula>
    </cfRule>
  </conditionalFormatting>
  <conditionalFormatting sqref="E32:E35">
    <cfRule type="containsBlanks" dxfId="102" priority="46">
      <formula>LEN(TRIM(E32))=0</formula>
    </cfRule>
  </conditionalFormatting>
  <conditionalFormatting sqref="C32:C35">
    <cfRule type="containsBlanks" dxfId="101" priority="45">
      <formula>LEN(TRIM(C32))=0</formula>
    </cfRule>
  </conditionalFormatting>
  <conditionalFormatting sqref="C105:C111">
    <cfRule type="containsBlanks" dxfId="100" priority="33">
      <formula>LEN(TRIM(C105))=0</formula>
    </cfRule>
  </conditionalFormatting>
  <conditionalFormatting sqref="C44:C61">
    <cfRule type="containsBlanks" dxfId="99" priority="44">
      <formula>LEN(TRIM(C44))=0</formula>
    </cfRule>
  </conditionalFormatting>
  <conditionalFormatting sqref="E44:E61">
    <cfRule type="containsBlanks" dxfId="98" priority="43">
      <formula>LEN(TRIM(E44))=0</formula>
    </cfRule>
  </conditionalFormatting>
  <conditionalFormatting sqref="G44:G61">
    <cfRule type="containsBlanks" dxfId="97" priority="42">
      <formula>LEN(TRIM(G44))=0</formula>
    </cfRule>
  </conditionalFormatting>
  <conditionalFormatting sqref="G68:G72">
    <cfRule type="containsBlanks" dxfId="96" priority="41">
      <formula>LEN(TRIM(G68))=0</formula>
    </cfRule>
  </conditionalFormatting>
  <conditionalFormatting sqref="E68:E72">
    <cfRule type="containsBlanks" dxfId="95" priority="40">
      <formula>LEN(TRIM(E68))=0</formula>
    </cfRule>
  </conditionalFormatting>
  <conditionalFormatting sqref="C68:C72">
    <cfRule type="containsBlanks" dxfId="94" priority="39">
      <formula>LEN(TRIM(C68))=0</formula>
    </cfRule>
  </conditionalFormatting>
  <conditionalFormatting sqref="C78:C99">
    <cfRule type="containsBlanks" dxfId="93" priority="38">
      <formula>LEN(TRIM(C78))=0</formula>
    </cfRule>
  </conditionalFormatting>
  <conditionalFormatting sqref="E78:E99">
    <cfRule type="containsBlanks" dxfId="92" priority="37">
      <formula>LEN(TRIM(E78))=0</formula>
    </cfRule>
  </conditionalFormatting>
  <conditionalFormatting sqref="G78:G99">
    <cfRule type="containsBlanks" dxfId="91" priority="36">
      <formula>LEN(TRIM(G78))=0</formula>
    </cfRule>
  </conditionalFormatting>
  <conditionalFormatting sqref="G105:G111">
    <cfRule type="containsBlanks" dxfId="90" priority="35">
      <formula>LEN(TRIM(G105))=0</formula>
    </cfRule>
  </conditionalFormatting>
  <conditionalFormatting sqref="E105:E111">
    <cfRule type="containsBlanks" dxfId="89" priority="34">
      <formula>LEN(TRIM(E105))=0</formula>
    </cfRule>
  </conditionalFormatting>
  <conditionalFormatting sqref="I8:I13">
    <cfRule type="containsBlanks" dxfId="88" priority="30">
      <formula>LEN(TRIM(I8))=0</formula>
    </cfRule>
  </conditionalFormatting>
  <conditionalFormatting sqref="I17:I18">
    <cfRule type="containsBlanks" dxfId="87" priority="29">
      <formula>LEN(TRIM(I17))=0</formula>
    </cfRule>
  </conditionalFormatting>
  <conditionalFormatting sqref="I25:I28">
    <cfRule type="containsBlanks" dxfId="86" priority="28">
      <formula>LEN(TRIM(I25))=0</formula>
    </cfRule>
  </conditionalFormatting>
  <conditionalFormatting sqref="I32:I36">
    <cfRule type="containsBlanks" dxfId="85" priority="27">
      <formula>LEN(TRIM(I32))=0</formula>
    </cfRule>
  </conditionalFormatting>
  <conditionalFormatting sqref="I44:I63">
    <cfRule type="containsBlanks" dxfId="84" priority="26">
      <formula>LEN(TRIM(I44))=0</formula>
    </cfRule>
  </conditionalFormatting>
  <conditionalFormatting sqref="I68:I73">
    <cfRule type="containsBlanks" dxfId="83" priority="25">
      <formula>LEN(TRIM(I68))=0</formula>
    </cfRule>
  </conditionalFormatting>
  <conditionalFormatting sqref="I78:I100">
    <cfRule type="containsBlanks" dxfId="82" priority="24">
      <formula>LEN(TRIM(I78))=0</formula>
    </cfRule>
  </conditionalFormatting>
  <conditionalFormatting sqref="T25:T29">
    <cfRule type="cellIs" dxfId="81" priority="21" operator="equal">
      <formula>0</formula>
    </cfRule>
    <cfRule type="cellIs" dxfId="80" priority="22" operator="lessThan">
      <formula>-0.15</formula>
    </cfRule>
    <cfRule type="cellIs" dxfId="79" priority="23" operator="greaterThan">
      <formula>0.15</formula>
    </cfRule>
  </conditionalFormatting>
  <conditionalFormatting sqref="T32:T37">
    <cfRule type="cellIs" dxfId="78" priority="18" operator="equal">
      <formula>0</formula>
    </cfRule>
    <cfRule type="cellIs" dxfId="77" priority="19" operator="lessThan">
      <formula>-0.15</formula>
    </cfRule>
    <cfRule type="cellIs" dxfId="76" priority="20" operator="greaterThan">
      <formula>0.15</formula>
    </cfRule>
  </conditionalFormatting>
  <conditionalFormatting sqref="T44:T64">
    <cfRule type="cellIs" dxfId="75" priority="15" operator="equal">
      <formula>0</formula>
    </cfRule>
    <cfRule type="cellIs" dxfId="74" priority="16" operator="lessThan">
      <formula>-0.15</formula>
    </cfRule>
    <cfRule type="cellIs" dxfId="73" priority="17" operator="greaterThan">
      <formula>0.15</formula>
    </cfRule>
  </conditionalFormatting>
  <conditionalFormatting sqref="T68:T74">
    <cfRule type="cellIs" dxfId="72" priority="12" operator="equal">
      <formula>0</formula>
    </cfRule>
    <cfRule type="cellIs" dxfId="71" priority="13" operator="lessThan">
      <formula>-0.15</formula>
    </cfRule>
    <cfRule type="cellIs" dxfId="70" priority="14" operator="greaterThan">
      <formula>0.15</formula>
    </cfRule>
  </conditionalFormatting>
  <conditionalFormatting sqref="T78:T101">
    <cfRule type="cellIs" dxfId="69" priority="9" operator="equal">
      <formula>0</formula>
    </cfRule>
    <cfRule type="cellIs" dxfId="68" priority="10" operator="lessThan">
      <formula>-0.15</formula>
    </cfRule>
    <cfRule type="cellIs" dxfId="67" priority="11" operator="greaterThan">
      <formula>0.15</formula>
    </cfRule>
  </conditionalFormatting>
  <conditionalFormatting sqref="T105:T113">
    <cfRule type="cellIs" dxfId="66" priority="6" operator="equal">
      <formula>0</formula>
    </cfRule>
    <cfRule type="cellIs" dxfId="65" priority="7" operator="lessThan">
      <formula>-0.15</formula>
    </cfRule>
    <cfRule type="cellIs" dxfId="64" priority="8" operator="greaterThan">
      <formula>0.15</formula>
    </cfRule>
  </conditionalFormatting>
  <conditionalFormatting sqref="T115">
    <cfRule type="cellIs" dxfId="63" priority="3" operator="equal">
      <formula>0</formula>
    </cfRule>
    <cfRule type="cellIs" dxfId="62" priority="4" operator="lessThan">
      <formula>-0.15</formula>
    </cfRule>
    <cfRule type="cellIs" dxfId="61" priority="5" operator="greaterThan">
      <formula>0.15</formula>
    </cfRule>
  </conditionalFormatting>
  <conditionalFormatting sqref="K8:K9">
    <cfRule type="containsBlanks" dxfId="60" priority="1">
      <formula>LEN(TRIM(K8))=0</formula>
    </cfRule>
  </conditionalFormatting>
  <dataValidations disablePrompts="1" count="1">
    <dataValidation type="list" allowBlank="1" showInputMessage="1" showErrorMessage="1" sqref="Z5:Z6" xr:uid="{0BF23806-9D53-421C-BDEA-BADAB942BCFE}">
      <formula1>"Yes, No"</formula1>
    </dataValidation>
  </dataValidations>
  <printOptions horizontalCentered="1"/>
  <pageMargins left="0.5" right="0.5" top="0.5" bottom="0.5" header="0.3" footer="0.3"/>
  <pageSetup scale="34" orientation="portrait" r:id="rId1"/>
  <headerFooter scaleWithDoc="0">
    <oddHeader xml:space="preserve">&amp;R&amp;"Times New Roman,Regular"&amp;7
</oddHeader>
    <oddFooter>&amp;LPRIVELEGED AND CONFIDENTIAL&amp;R&amp;G</oddFooter>
    <firstHeader>&amp;CEXECUTIVE SUMMARY</firstHeader>
  </headerFooter>
  <drawing r:id="rId2"/>
  <legacyDrawing r:id="rId3"/>
  <legacyDrawingHF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1" id="{FC7A57CE-40B7-49A2-960A-BB6D6B7E6383}">
            <xm:f>'Input Page'!#REF!="Yes"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U108</xm:sqref>
        </x14:conditionalFormatting>
        <x14:conditionalFormatting xmlns:xm="http://schemas.microsoft.com/office/excel/2006/main">
          <x14:cfRule type="expression" priority="352" id="{54FB11A7-7028-43BE-83B6-6A31017D9FD1}">
            <xm:f>AND(N108&lt;700,'Input Page'!#REF!="yes")</xm:f>
            <x14:dxf>
              <fill>
                <patternFill>
                  <bgColor rgb="FFFF0000"/>
                </patternFill>
              </fill>
            </x14:dxf>
          </x14:cfRule>
          <xm:sqref>P108 N108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CFF"/>
    <pageSetUpPr fitToPage="1"/>
  </sheetPr>
  <dimension ref="A1:AF241"/>
  <sheetViews>
    <sheetView showGridLines="0" view="pageBreakPreview" zoomScale="85" zoomScaleNormal="68" zoomScaleSheetLayoutView="85" zoomScalePageLayoutView="68" workbookViewId="0">
      <selection activeCell="E100" sqref="E100"/>
    </sheetView>
  </sheetViews>
  <sheetFormatPr defaultColWidth="9.140625" defaultRowHeight="15.75"/>
  <cols>
    <col min="1" max="1" width="10.85546875" style="2" bestFit="1" customWidth="1"/>
    <col min="2" max="2" width="50.85546875" style="2" customWidth="1"/>
    <col min="3" max="3" width="14.140625" style="2" bestFit="1" customWidth="1"/>
    <col min="4" max="12" width="12.42578125" style="7" bestFit="1" customWidth="1"/>
    <col min="13" max="17" width="14.140625" style="7" hidden="1" customWidth="1"/>
    <col min="18" max="16384" width="9.140625" style="7"/>
  </cols>
  <sheetData>
    <row r="1" spans="1:32" s="2" customFormat="1" ht="18.75">
      <c r="A1" s="1706" t="str">
        <f>UPPER('Input Page'!$F$32)</f>
        <v/>
      </c>
      <c r="B1" s="1706"/>
      <c r="C1" s="1706"/>
      <c r="D1" s="1706"/>
      <c r="E1" s="1706"/>
      <c r="F1" s="1706"/>
      <c r="G1" s="1706"/>
      <c r="H1" s="1706"/>
      <c r="I1" s="1706"/>
      <c r="J1" s="1706"/>
      <c r="K1" s="1706"/>
      <c r="L1" s="1706"/>
      <c r="M1" s="1706"/>
      <c r="N1" s="1706"/>
      <c r="O1" s="1706"/>
      <c r="P1" s="1706"/>
      <c r="Q1" s="1706"/>
      <c r="V1" s="46"/>
      <c r="AA1" s="46"/>
      <c r="AD1" s="1"/>
      <c r="AE1" s="1"/>
      <c r="AF1" s="1"/>
    </row>
    <row r="2" spans="1:32" s="2" customFormat="1" ht="19.5" thickBot="1">
      <c r="A2" s="1706" t="s">
        <v>388</v>
      </c>
      <c r="B2" s="1706"/>
      <c r="C2" s="1706"/>
      <c r="D2" s="1706"/>
      <c r="E2" s="1706"/>
      <c r="F2" s="1706"/>
      <c r="G2" s="1706"/>
      <c r="H2" s="1706"/>
      <c r="I2" s="1706"/>
      <c r="J2" s="1706"/>
      <c r="K2" s="1706"/>
      <c r="L2" s="1706"/>
      <c r="M2" s="1706"/>
      <c r="N2" s="1706"/>
      <c r="O2" s="1706"/>
      <c r="P2" s="1706"/>
      <c r="Q2" s="1706"/>
      <c r="V2" s="46"/>
      <c r="AA2" s="46"/>
      <c r="AD2" s="1"/>
      <c r="AE2" s="1"/>
      <c r="AF2" s="1"/>
    </row>
    <row r="3" spans="1:32" ht="18">
      <c r="A3" s="641"/>
      <c r="B3" s="642"/>
      <c r="C3" s="642"/>
      <c r="D3" s="138"/>
      <c r="E3" s="138"/>
      <c r="F3" s="138"/>
      <c r="G3" s="138"/>
      <c r="H3" s="138"/>
      <c r="I3" s="138"/>
      <c r="J3" s="138"/>
      <c r="K3" s="138"/>
      <c r="L3" s="222"/>
    </row>
    <row r="4" spans="1:32">
      <c r="A4" s="178"/>
      <c r="B4" s="175"/>
      <c r="C4" s="175"/>
      <c r="L4" s="140"/>
    </row>
    <row r="5" spans="1:32">
      <c r="A5" s="178"/>
      <c r="B5" s="175"/>
      <c r="C5" s="7"/>
      <c r="L5" s="140"/>
    </row>
    <row r="6" spans="1:32" ht="18">
      <c r="A6" s="779" t="s">
        <v>389</v>
      </c>
      <c r="B6" s="780" t="s">
        <v>390</v>
      </c>
      <c r="C6" s="781" t="s">
        <v>311</v>
      </c>
      <c r="D6" s="781" t="s">
        <v>312</v>
      </c>
      <c r="E6" s="781" t="s">
        <v>313</v>
      </c>
      <c r="F6" s="781" t="s">
        <v>314</v>
      </c>
      <c r="G6" s="781" t="s">
        <v>315</v>
      </c>
      <c r="H6" s="781" t="s">
        <v>391</v>
      </c>
      <c r="I6" s="781" t="s">
        <v>392</v>
      </c>
      <c r="J6" s="781" t="s">
        <v>393</v>
      </c>
      <c r="K6" s="781" t="s">
        <v>394</v>
      </c>
      <c r="L6" s="782" t="s">
        <v>395</v>
      </c>
      <c r="M6" s="180" t="s">
        <v>396</v>
      </c>
      <c r="N6" s="180" t="s">
        <v>397</v>
      </c>
      <c r="O6" s="180" t="s">
        <v>398</v>
      </c>
      <c r="P6" s="180" t="s">
        <v>399</v>
      </c>
      <c r="Q6" s="180" t="s">
        <v>400</v>
      </c>
    </row>
    <row r="7" spans="1:32">
      <c r="A7" s="178"/>
      <c r="B7" s="181" t="s">
        <v>401</v>
      </c>
      <c r="C7" s="175"/>
      <c r="L7" s="140"/>
    </row>
    <row r="8" spans="1:32">
      <c r="A8" s="919">
        <v>5120</v>
      </c>
      <c r="B8" s="186" t="s">
        <v>402</v>
      </c>
      <c r="C8" s="632">
        <f>'Income &amp; OpEx'!M8</f>
        <v>0</v>
      </c>
      <c r="D8" s="500">
        <f>C8*$H$120</f>
        <v>0</v>
      </c>
      <c r="E8" s="500">
        <f t="shared" ref="E8:L8" si="0">D8*$H$120</f>
        <v>0</v>
      </c>
      <c r="F8" s="500">
        <f t="shared" si="0"/>
        <v>0</v>
      </c>
      <c r="G8" s="500">
        <f t="shared" si="0"/>
        <v>0</v>
      </c>
      <c r="H8" s="500">
        <f t="shared" si="0"/>
        <v>0</v>
      </c>
      <c r="I8" s="500">
        <f t="shared" si="0"/>
        <v>0</v>
      </c>
      <c r="J8" s="500">
        <f t="shared" si="0"/>
        <v>0</v>
      </c>
      <c r="K8" s="500">
        <f t="shared" si="0"/>
        <v>0</v>
      </c>
      <c r="L8" s="563">
        <f t="shared" si="0"/>
        <v>0</v>
      </c>
      <c r="M8" s="485">
        <f t="shared" ref="M8:Q8" si="1">ROUND(L8*$H$120,0)</f>
        <v>0</v>
      </c>
      <c r="N8" s="485">
        <f t="shared" si="1"/>
        <v>0</v>
      </c>
      <c r="O8" s="485">
        <f t="shared" si="1"/>
        <v>0</v>
      </c>
      <c r="P8" s="485">
        <f t="shared" si="1"/>
        <v>0</v>
      </c>
      <c r="Q8" s="485">
        <f t="shared" si="1"/>
        <v>0</v>
      </c>
    </row>
    <row r="9" spans="1:32" hidden="1">
      <c r="A9" s="919">
        <v>5121</v>
      </c>
      <c r="B9" s="186" t="s">
        <v>403</v>
      </c>
      <c r="C9" s="632">
        <f>'Income &amp; OpEx'!M9</f>
        <v>0</v>
      </c>
      <c r="D9" s="500">
        <f>C9*$H$120</f>
        <v>0</v>
      </c>
      <c r="E9" s="500">
        <f t="shared" ref="E9:L9" si="2">D9*$H$120</f>
        <v>0</v>
      </c>
      <c r="F9" s="500">
        <f t="shared" si="2"/>
        <v>0</v>
      </c>
      <c r="G9" s="500">
        <f t="shared" si="2"/>
        <v>0</v>
      </c>
      <c r="H9" s="500">
        <f t="shared" si="2"/>
        <v>0</v>
      </c>
      <c r="I9" s="500">
        <f t="shared" si="2"/>
        <v>0</v>
      </c>
      <c r="J9" s="500">
        <f t="shared" si="2"/>
        <v>0</v>
      </c>
      <c r="K9" s="500">
        <f t="shared" si="2"/>
        <v>0</v>
      </c>
      <c r="L9" s="563">
        <f t="shared" si="2"/>
        <v>0</v>
      </c>
      <c r="M9" s="485">
        <f t="shared" ref="M9:Q13" si="3">ROUND(L9*$H$120,0)</f>
        <v>0</v>
      </c>
      <c r="N9" s="485">
        <f t="shared" si="3"/>
        <v>0</v>
      </c>
      <c r="O9" s="485">
        <f t="shared" si="3"/>
        <v>0</v>
      </c>
      <c r="P9" s="485">
        <f t="shared" si="3"/>
        <v>0</v>
      </c>
      <c r="Q9" s="485">
        <f t="shared" si="3"/>
        <v>0</v>
      </c>
    </row>
    <row r="10" spans="1:32" hidden="1">
      <c r="A10" s="919">
        <v>5140</v>
      </c>
      <c r="B10" s="186" t="s">
        <v>404</v>
      </c>
      <c r="C10" s="632">
        <f>'Income &amp; OpEx'!M10</f>
        <v>0</v>
      </c>
      <c r="D10" s="500">
        <f t="shared" ref="D10:L13" si="4">C10*$H$120</f>
        <v>0</v>
      </c>
      <c r="E10" s="500">
        <f t="shared" si="4"/>
        <v>0</v>
      </c>
      <c r="F10" s="500">
        <f t="shared" si="4"/>
        <v>0</v>
      </c>
      <c r="G10" s="500">
        <f t="shared" si="4"/>
        <v>0</v>
      </c>
      <c r="H10" s="500">
        <f t="shared" si="4"/>
        <v>0</v>
      </c>
      <c r="I10" s="500">
        <f t="shared" si="4"/>
        <v>0</v>
      </c>
      <c r="J10" s="500">
        <f t="shared" si="4"/>
        <v>0</v>
      </c>
      <c r="K10" s="500">
        <f t="shared" si="4"/>
        <v>0</v>
      </c>
      <c r="L10" s="563">
        <f t="shared" si="4"/>
        <v>0</v>
      </c>
      <c r="M10" s="485">
        <f t="shared" si="3"/>
        <v>0</v>
      </c>
      <c r="N10" s="485">
        <f t="shared" si="3"/>
        <v>0</v>
      </c>
      <c r="O10" s="485">
        <f t="shared" si="3"/>
        <v>0</v>
      </c>
      <c r="P10" s="485">
        <f t="shared" si="3"/>
        <v>0</v>
      </c>
      <c r="Q10" s="485">
        <f t="shared" si="3"/>
        <v>0</v>
      </c>
    </row>
    <row r="11" spans="1:32" hidden="1">
      <c r="A11" s="919">
        <v>5145</v>
      </c>
      <c r="B11" s="186" t="s">
        <v>405</v>
      </c>
      <c r="C11" s="632">
        <f>'Income &amp; OpEx'!M11</f>
        <v>0</v>
      </c>
      <c r="D11" s="500">
        <f t="shared" si="4"/>
        <v>0</v>
      </c>
      <c r="E11" s="500">
        <f t="shared" si="4"/>
        <v>0</v>
      </c>
      <c r="F11" s="500">
        <f t="shared" si="4"/>
        <v>0</v>
      </c>
      <c r="G11" s="500">
        <f t="shared" si="4"/>
        <v>0</v>
      </c>
      <c r="H11" s="500">
        <f t="shared" si="4"/>
        <v>0</v>
      </c>
      <c r="I11" s="500">
        <f t="shared" si="4"/>
        <v>0</v>
      </c>
      <c r="J11" s="500">
        <f t="shared" si="4"/>
        <v>0</v>
      </c>
      <c r="K11" s="500">
        <f t="shared" si="4"/>
        <v>0</v>
      </c>
      <c r="L11" s="563">
        <f t="shared" si="4"/>
        <v>0</v>
      </c>
      <c r="M11" s="485">
        <f t="shared" si="3"/>
        <v>0</v>
      </c>
      <c r="N11" s="485">
        <f t="shared" si="3"/>
        <v>0</v>
      </c>
      <c r="O11" s="485">
        <f t="shared" si="3"/>
        <v>0</v>
      </c>
      <c r="P11" s="485">
        <f t="shared" si="3"/>
        <v>0</v>
      </c>
      <c r="Q11" s="485">
        <f t="shared" si="3"/>
        <v>0</v>
      </c>
    </row>
    <row r="12" spans="1:32" hidden="1">
      <c r="A12" s="919">
        <v>5190</v>
      </c>
      <c r="B12" s="186" t="s">
        <v>406</v>
      </c>
      <c r="C12" s="632">
        <f>'Income &amp; OpEx'!M12</f>
        <v>0</v>
      </c>
      <c r="D12" s="500">
        <f t="shared" si="4"/>
        <v>0</v>
      </c>
      <c r="E12" s="500">
        <f t="shared" si="4"/>
        <v>0</v>
      </c>
      <c r="F12" s="500">
        <f t="shared" si="4"/>
        <v>0</v>
      </c>
      <c r="G12" s="500">
        <f t="shared" si="4"/>
        <v>0</v>
      </c>
      <c r="H12" s="500">
        <f t="shared" si="4"/>
        <v>0</v>
      </c>
      <c r="I12" s="500">
        <f t="shared" si="4"/>
        <v>0</v>
      </c>
      <c r="J12" s="500">
        <f t="shared" si="4"/>
        <v>0</v>
      </c>
      <c r="K12" s="500">
        <f t="shared" si="4"/>
        <v>0</v>
      </c>
      <c r="L12" s="563">
        <f t="shared" si="4"/>
        <v>0</v>
      </c>
      <c r="M12" s="485">
        <f t="shared" si="3"/>
        <v>0</v>
      </c>
      <c r="N12" s="485">
        <f t="shared" si="3"/>
        <v>0</v>
      </c>
      <c r="O12" s="485">
        <f t="shared" si="3"/>
        <v>0</v>
      </c>
      <c r="P12" s="485">
        <f t="shared" si="3"/>
        <v>0</v>
      </c>
      <c r="Q12" s="485">
        <f t="shared" si="3"/>
        <v>0</v>
      </c>
    </row>
    <row r="13" spans="1:32" hidden="1">
      <c r="A13" s="919">
        <v>5193</v>
      </c>
      <c r="B13" s="186" t="s">
        <v>407</v>
      </c>
      <c r="C13" s="636">
        <f>'Income &amp; OpEx'!M13</f>
        <v>0</v>
      </c>
      <c r="D13" s="502">
        <f t="shared" si="4"/>
        <v>0</v>
      </c>
      <c r="E13" s="502">
        <f t="shared" si="4"/>
        <v>0</v>
      </c>
      <c r="F13" s="502">
        <f t="shared" si="4"/>
        <v>0</v>
      </c>
      <c r="G13" s="502">
        <f t="shared" si="4"/>
        <v>0</v>
      </c>
      <c r="H13" s="502">
        <f t="shared" si="4"/>
        <v>0</v>
      </c>
      <c r="I13" s="502">
        <f t="shared" si="4"/>
        <v>0</v>
      </c>
      <c r="J13" s="502">
        <f t="shared" si="4"/>
        <v>0</v>
      </c>
      <c r="K13" s="502">
        <f t="shared" si="4"/>
        <v>0</v>
      </c>
      <c r="L13" s="503">
        <f t="shared" si="4"/>
        <v>0</v>
      </c>
      <c r="M13" s="635">
        <f t="shared" si="3"/>
        <v>0</v>
      </c>
      <c r="N13" s="635">
        <f t="shared" si="3"/>
        <v>0</v>
      </c>
      <c r="O13" s="635">
        <f t="shared" si="3"/>
        <v>0</v>
      </c>
      <c r="P13" s="635">
        <f t="shared" si="3"/>
        <v>0</v>
      </c>
      <c r="Q13" s="635">
        <f t="shared" si="3"/>
        <v>0</v>
      </c>
    </row>
    <row r="14" spans="1:32">
      <c r="A14" s="919"/>
      <c r="B14" s="175"/>
      <c r="C14" s="567">
        <f>SUM(C8:C13)</f>
        <v>0</v>
      </c>
      <c r="D14" s="567">
        <f t="shared" ref="D14:Q14" si="5">SUM(D8:D13)</f>
        <v>0</v>
      </c>
      <c r="E14" s="567">
        <f t="shared" si="5"/>
        <v>0</v>
      </c>
      <c r="F14" s="567">
        <f t="shared" si="5"/>
        <v>0</v>
      </c>
      <c r="G14" s="567">
        <f t="shared" si="5"/>
        <v>0</v>
      </c>
      <c r="H14" s="567">
        <f t="shared" si="5"/>
        <v>0</v>
      </c>
      <c r="I14" s="567">
        <f t="shared" si="5"/>
        <v>0</v>
      </c>
      <c r="J14" s="567">
        <f t="shared" si="5"/>
        <v>0</v>
      </c>
      <c r="K14" s="567">
        <f t="shared" si="5"/>
        <v>0</v>
      </c>
      <c r="L14" s="644">
        <f t="shared" si="5"/>
        <v>0</v>
      </c>
      <c r="M14" s="567">
        <f t="shared" si="5"/>
        <v>0</v>
      </c>
      <c r="N14" s="567">
        <f t="shared" si="5"/>
        <v>0</v>
      </c>
      <c r="O14" s="567">
        <f t="shared" si="5"/>
        <v>0</v>
      </c>
      <c r="P14" s="567">
        <f t="shared" si="5"/>
        <v>0</v>
      </c>
      <c r="Q14" s="567">
        <f t="shared" si="5"/>
        <v>0</v>
      </c>
    </row>
    <row r="15" spans="1:32">
      <c r="A15" s="919"/>
      <c r="B15" s="181" t="s">
        <v>408</v>
      </c>
      <c r="C15" s="633"/>
      <c r="D15" s="485"/>
      <c r="E15" s="485"/>
      <c r="F15" s="485"/>
      <c r="G15" s="485"/>
      <c r="H15" s="485"/>
      <c r="I15" s="485"/>
      <c r="J15" s="485"/>
      <c r="K15" s="485"/>
      <c r="L15" s="555"/>
      <c r="M15" s="485"/>
      <c r="N15" s="485"/>
      <c r="O15" s="485"/>
      <c r="P15" s="485"/>
      <c r="Q15" s="485"/>
    </row>
    <row r="16" spans="1:32">
      <c r="A16" s="919">
        <v>5210</v>
      </c>
      <c r="B16" s="186" t="str">
        <f>CONCATENATE("Residential Vacancies - ","(",N120*100,"%",")")</f>
        <v>Residential Vacancies - (5%)</v>
      </c>
      <c r="C16" s="500">
        <f>C14*-$N$120</f>
        <v>0</v>
      </c>
      <c r="D16" s="500">
        <f t="shared" ref="D16:L16" si="6">D14*-$N$120</f>
        <v>0</v>
      </c>
      <c r="E16" s="500">
        <f t="shared" si="6"/>
        <v>0</v>
      </c>
      <c r="F16" s="500">
        <f t="shared" si="6"/>
        <v>0</v>
      </c>
      <c r="G16" s="500">
        <f t="shared" si="6"/>
        <v>0</v>
      </c>
      <c r="H16" s="500">
        <f t="shared" si="6"/>
        <v>0</v>
      </c>
      <c r="I16" s="500">
        <f t="shared" si="6"/>
        <v>0</v>
      </c>
      <c r="J16" s="500">
        <f t="shared" si="6"/>
        <v>0</v>
      </c>
      <c r="K16" s="500">
        <f t="shared" si="6"/>
        <v>0</v>
      </c>
      <c r="L16" s="563">
        <f t="shared" si="6"/>
        <v>0</v>
      </c>
      <c r="M16" s="485">
        <f t="shared" ref="M16:Q17" si="7">M14*$N$120</f>
        <v>0</v>
      </c>
      <c r="N16" s="485">
        <f t="shared" si="7"/>
        <v>0</v>
      </c>
      <c r="O16" s="485">
        <f t="shared" si="7"/>
        <v>0</v>
      </c>
      <c r="P16" s="485">
        <f t="shared" si="7"/>
        <v>0</v>
      </c>
      <c r="Q16" s="485">
        <f t="shared" si="7"/>
        <v>0</v>
      </c>
    </row>
    <row r="17" spans="1:17" hidden="1">
      <c r="A17" s="919">
        <v>5290</v>
      </c>
      <c r="B17" s="186" t="s">
        <v>409</v>
      </c>
      <c r="C17" s="1015">
        <f>-'Income &amp; OpEx'!$U$18*'Warehouse - 10 Year CF'!C14</f>
        <v>0</v>
      </c>
      <c r="D17" s="1015">
        <f>-'Income &amp; OpEx'!$U$18*'Warehouse - 10 Year CF'!D14</f>
        <v>0</v>
      </c>
      <c r="E17" s="1015">
        <f>-'Income &amp; OpEx'!$U$18*'Warehouse - 10 Year CF'!E14</f>
        <v>0</v>
      </c>
      <c r="F17" s="1015">
        <f>-'Income &amp; OpEx'!$U$18*'Warehouse - 10 Year CF'!F14</f>
        <v>0</v>
      </c>
      <c r="G17" s="1015">
        <f>-'Income &amp; OpEx'!$U$18*'Warehouse - 10 Year CF'!G14</f>
        <v>0</v>
      </c>
      <c r="H17" s="1015">
        <f>-'Income &amp; OpEx'!$U$18*'Warehouse - 10 Year CF'!H14</f>
        <v>0</v>
      </c>
      <c r="I17" s="1015">
        <f>-'Income &amp; OpEx'!$U$18*'Warehouse - 10 Year CF'!I14</f>
        <v>0</v>
      </c>
      <c r="J17" s="1015">
        <f>-'Income &amp; OpEx'!$U$18*'Warehouse - 10 Year CF'!J14</f>
        <v>0</v>
      </c>
      <c r="K17" s="1015">
        <f>-'Income &amp; OpEx'!$U$18*'Warehouse - 10 Year CF'!K14</f>
        <v>0</v>
      </c>
      <c r="L17" s="1016">
        <f>-'Income &amp; OpEx'!$U$18*'Warehouse - 10 Year CF'!L14</f>
        <v>0</v>
      </c>
      <c r="M17" s="635">
        <f t="shared" si="7"/>
        <v>0</v>
      </c>
      <c r="N17" s="635">
        <f t="shared" si="7"/>
        <v>0</v>
      </c>
      <c r="O17" s="635">
        <f t="shared" si="7"/>
        <v>0</v>
      </c>
      <c r="P17" s="635">
        <f t="shared" si="7"/>
        <v>0</v>
      </c>
      <c r="Q17" s="635">
        <f t="shared" si="7"/>
        <v>0</v>
      </c>
    </row>
    <row r="18" spans="1:17">
      <c r="A18" s="919"/>
      <c r="B18" s="175"/>
      <c r="C18" s="567">
        <f>SUM(C16:C17)</f>
        <v>0</v>
      </c>
      <c r="D18" s="567">
        <f t="shared" ref="D18:Q18" si="8">SUM(D16:D17)</f>
        <v>0</v>
      </c>
      <c r="E18" s="567">
        <f t="shared" si="8"/>
        <v>0</v>
      </c>
      <c r="F18" s="567">
        <f t="shared" si="8"/>
        <v>0</v>
      </c>
      <c r="G18" s="567">
        <f t="shared" si="8"/>
        <v>0</v>
      </c>
      <c r="H18" s="567">
        <f t="shared" si="8"/>
        <v>0</v>
      </c>
      <c r="I18" s="567">
        <f t="shared" si="8"/>
        <v>0</v>
      </c>
      <c r="J18" s="567">
        <f t="shared" si="8"/>
        <v>0</v>
      </c>
      <c r="K18" s="567">
        <f t="shared" si="8"/>
        <v>0</v>
      </c>
      <c r="L18" s="644">
        <f t="shared" si="8"/>
        <v>0</v>
      </c>
      <c r="M18" s="567">
        <f t="shared" si="8"/>
        <v>0</v>
      </c>
      <c r="N18" s="567">
        <f t="shared" si="8"/>
        <v>0</v>
      </c>
      <c r="O18" s="567">
        <f t="shared" si="8"/>
        <v>0</v>
      </c>
      <c r="P18" s="567">
        <f t="shared" si="8"/>
        <v>0</v>
      </c>
      <c r="Q18" s="567">
        <f t="shared" si="8"/>
        <v>0</v>
      </c>
    </row>
    <row r="19" spans="1:17">
      <c r="A19" s="919"/>
      <c r="B19" s="175"/>
      <c r="C19" s="187"/>
      <c r="D19" s="187"/>
      <c r="E19" s="187"/>
      <c r="F19" s="187"/>
      <c r="G19" s="187"/>
      <c r="H19" s="187"/>
      <c r="I19" s="187"/>
      <c r="J19" s="187"/>
      <c r="K19" s="187"/>
      <c r="L19" s="645"/>
    </row>
    <row r="20" spans="1:17">
      <c r="A20" s="919"/>
      <c r="B20" s="175" t="s">
        <v>410</v>
      </c>
      <c r="C20" s="635">
        <f>SUM(C18+C14)</f>
        <v>0</v>
      </c>
      <c r="D20" s="635">
        <f t="shared" ref="D20:Q20" si="9">SUM(D18+D14)</f>
        <v>0</v>
      </c>
      <c r="E20" s="635">
        <f t="shared" si="9"/>
        <v>0</v>
      </c>
      <c r="F20" s="635">
        <f t="shared" si="9"/>
        <v>0</v>
      </c>
      <c r="G20" s="635">
        <f t="shared" si="9"/>
        <v>0</v>
      </c>
      <c r="H20" s="635">
        <f t="shared" si="9"/>
        <v>0</v>
      </c>
      <c r="I20" s="635">
        <f t="shared" si="9"/>
        <v>0</v>
      </c>
      <c r="J20" s="635">
        <f t="shared" si="9"/>
        <v>0</v>
      </c>
      <c r="K20" s="635">
        <f t="shared" si="9"/>
        <v>0</v>
      </c>
      <c r="L20" s="646">
        <f t="shared" si="9"/>
        <v>0</v>
      </c>
      <c r="M20" s="635">
        <f t="shared" si="9"/>
        <v>0</v>
      </c>
      <c r="N20" s="635">
        <f t="shared" si="9"/>
        <v>0</v>
      </c>
      <c r="O20" s="635">
        <f t="shared" si="9"/>
        <v>0</v>
      </c>
      <c r="P20" s="635">
        <f t="shared" si="9"/>
        <v>0</v>
      </c>
      <c r="Q20" s="635">
        <f t="shared" si="9"/>
        <v>0</v>
      </c>
    </row>
    <row r="21" spans="1:17">
      <c r="A21" s="919"/>
      <c r="B21" s="175"/>
      <c r="C21" s="176"/>
      <c r="L21" s="140"/>
    </row>
    <row r="22" spans="1:17">
      <c r="A22" s="919"/>
      <c r="B22" s="181" t="s">
        <v>411</v>
      </c>
      <c r="C22" s="176"/>
      <c r="L22" s="140"/>
    </row>
    <row r="23" spans="1:17" hidden="1">
      <c r="A23" s="919">
        <v>5410</v>
      </c>
      <c r="B23" s="186" t="s">
        <v>412</v>
      </c>
      <c r="C23" s="632">
        <f>'Income &amp; OpEx'!M25</f>
        <v>0</v>
      </c>
      <c r="D23" s="500">
        <f>ROUND(C23*$H$120,0)</f>
        <v>0</v>
      </c>
      <c r="E23" s="500">
        <f t="shared" ref="E23:Q23" si="10">ROUND(D23*$H$120,0)</f>
        <v>0</v>
      </c>
      <c r="F23" s="500">
        <f t="shared" si="10"/>
        <v>0</v>
      </c>
      <c r="G23" s="500">
        <f t="shared" si="10"/>
        <v>0</v>
      </c>
      <c r="H23" s="500">
        <f t="shared" si="10"/>
        <v>0</v>
      </c>
      <c r="I23" s="500">
        <f t="shared" si="10"/>
        <v>0</v>
      </c>
      <c r="J23" s="500">
        <f t="shared" si="10"/>
        <v>0</v>
      </c>
      <c r="K23" s="500">
        <f t="shared" si="10"/>
        <v>0</v>
      </c>
      <c r="L23" s="563">
        <f t="shared" si="10"/>
        <v>0</v>
      </c>
      <c r="M23" s="485">
        <f t="shared" si="10"/>
        <v>0</v>
      </c>
      <c r="N23" s="485">
        <f t="shared" si="10"/>
        <v>0</v>
      </c>
      <c r="O23" s="485">
        <f t="shared" si="10"/>
        <v>0</v>
      </c>
      <c r="P23" s="485">
        <f t="shared" si="10"/>
        <v>0</v>
      </c>
      <c r="Q23" s="485">
        <f t="shared" si="10"/>
        <v>0</v>
      </c>
    </row>
    <row r="24" spans="1:17" hidden="1">
      <c r="A24" s="919">
        <v>5430</v>
      </c>
      <c r="B24" s="186" t="s">
        <v>413</v>
      </c>
      <c r="C24" s="632">
        <f>'Income &amp; OpEx'!M26</f>
        <v>0</v>
      </c>
      <c r="D24" s="500">
        <f>ROUND(C24*$H$120,0)</f>
        <v>0</v>
      </c>
      <c r="E24" s="500">
        <f t="shared" ref="E24:Q24" si="11">ROUND(D24*$H$120,0)</f>
        <v>0</v>
      </c>
      <c r="F24" s="500">
        <f t="shared" si="11"/>
        <v>0</v>
      </c>
      <c r="G24" s="500">
        <f t="shared" si="11"/>
        <v>0</v>
      </c>
      <c r="H24" s="500">
        <f t="shared" si="11"/>
        <v>0</v>
      </c>
      <c r="I24" s="500">
        <f t="shared" si="11"/>
        <v>0</v>
      </c>
      <c r="J24" s="500">
        <f t="shared" si="11"/>
        <v>0</v>
      </c>
      <c r="K24" s="500">
        <f t="shared" si="11"/>
        <v>0</v>
      </c>
      <c r="L24" s="563">
        <f t="shared" si="11"/>
        <v>0</v>
      </c>
      <c r="M24" s="485">
        <f t="shared" si="11"/>
        <v>0</v>
      </c>
      <c r="N24" s="485">
        <f t="shared" si="11"/>
        <v>0</v>
      </c>
      <c r="O24" s="485">
        <f t="shared" si="11"/>
        <v>0</v>
      </c>
      <c r="P24" s="485">
        <f t="shared" si="11"/>
        <v>0</v>
      </c>
      <c r="Q24" s="485">
        <f t="shared" si="11"/>
        <v>0</v>
      </c>
    </row>
    <row r="25" spans="1:17" hidden="1">
      <c r="A25" s="919">
        <v>5440</v>
      </c>
      <c r="B25" s="186" t="s">
        <v>414</v>
      </c>
      <c r="C25" s="632">
        <f>'Income &amp; OpEx'!M27</f>
        <v>0</v>
      </c>
      <c r="D25" s="500">
        <f>ROUND(C25*$H$120,0)</f>
        <v>0</v>
      </c>
      <c r="E25" s="500">
        <f t="shared" ref="E25:Q25" si="12">ROUND(D25*$H$120,0)</f>
        <v>0</v>
      </c>
      <c r="F25" s="500">
        <f t="shared" si="12"/>
        <v>0</v>
      </c>
      <c r="G25" s="500">
        <f t="shared" si="12"/>
        <v>0</v>
      </c>
      <c r="H25" s="500">
        <f t="shared" si="12"/>
        <v>0</v>
      </c>
      <c r="I25" s="500">
        <f t="shared" si="12"/>
        <v>0</v>
      </c>
      <c r="J25" s="500">
        <f t="shared" si="12"/>
        <v>0</v>
      </c>
      <c r="K25" s="500">
        <f t="shared" si="12"/>
        <v>0</v>
      </c>
      <c r="L25" s="563">
        <f t="shared" si="12"/>
        <v>0</v>
      </c>
      <c r="M25" s="485">
        <f t="shared" si="12"/>
        <v>0</v>
      </c>
      <c r="N25" s="485">
        <f t="shared" si="12"/>
        <v>0</v>
      </c>
      <c r="O25" s="485">
        <f t="shared" si="12"/>
        <v>0</v>
      </c>
      <c r="P25" s="485">
        <f t="shared" si="12"/>
        <v>0</v>
      </c>
      <c r="Q25" s="485">
        <f t="shared" si="12"/>
        <v>0</v>
      </c>
    </row>
    <row r="26" spans="1:17">
      <c r="A26" s="919">
        <v>5490</v>
      </c>
      <c r="B26" s="186" t="s">
        <v>415</v>
      </c>
      <c r="C26" s="636">
        <f>'Income &amp; OpEx'!M28</f>
        <v>0</v>
      </c>
      <c r="D26" s="636">
        <f>ROUND(C26*$H$120,0)</f>
        <v>0</v>
      </c>
      <c r="E26" s="636">
        <f t="shared" ref="E26:Q26" si="13">ROUND(D26*$H$120,0)</f>
        <v>0</v>
      </c>
      <c r="F26" s="636">
        <f t="shared" si="13"/>
        <v>0</v>
      </c>
      <c r="G26" s="636">
        <f t="shared" si="13"/>
        <v>0</v>
      </c>
      <c r="H26" s="636">
        <f t="shared" si="13"/>
        <v>0</v>
      </c>
      <c r="I26" s="636">
        <f t="shared" si="13"/>
        <v>0</v>
      </c>
      <c r="J26" s="636">
        <f t="shared" si="13"/>
        <v>0</v>
      </c>
      <c r="K26" s="636">
        <f t="shared" si="13"/>
        <v>0</v>
      </c>
      <c r="L26" s="643">
        <f t="shared" si="13"/>
        <v>0</v>
      </c>
      <c r="M26" s="635">
        <f t="shared" si="13"/>
        <v>0</v>
      </c>
      <c r="N26" s="635">
        <f t="shared" si="13"/>
        <v>0</v>
      </c>
      <c r="O26" s="635">
        <f t="shared" si="13"/>
        <v>0</v>
      </c>
      <c r="P26" s="635">
        <f t="shared" si="13"/>
        <v>0</v>
      </c>
      <c r="Q26" s="635">
        <f t="shared" si="13"/>
        <v>0</v>
      </c>
    </row>
    <row r="27" spans="1:17">
      <c r="A27" s="919"/>
      <c r="B27" s="175"/>
      <c r="C27" s="567">
        <f>SUM(C23:C26)</f>
        <v>0</v>
      </c>
      <c r="D27" s="567">
        <f t="shared" ref="D27:Q27" si="14">SUM(D23:D26)</f>
        <v>0</v>
      </c>
      <c r="E27" s="567">
        <f t="shared" si="14"/>
        <v>0</v>
      </c>
      <c r="F27" s="567">
        <f t="shared" si="14"/>
        <v>0</v>
      </c>
      <c r="G27" s="567">
        <f t="shared" si="14"/>
        <v>0</v>
      </c>
      <c r="H27" s="567">
        <f t="shared" si="14"/>
        <v>0</v>
      </c>
      <c r="I27" s="567">
        <f t="shared" si="14"/>
        <v>0</v>
      </c>
      <c r="J27" s="567">
        <f t="shared" si="14"/>
        <v>0</v>
      </c>
      <c r="K27" s="567">
        <f t="shared" si="14"/>
        <v>0</v>
      </c>
      <c r="L27" s="644">
        <f t="shared" si="14"/>
        <v>0</v>
      </c>
      <c r="M27" s="567">
        <f t="shared" si="14"/>
        <v>0</v>
      </c>
      <c r="N27" s="567">
        <f t="shared" si="14"/>
        <v>0</v>
      </c>
      <c r="O27" s="567">
        <f t="shared" si="14"/>
        <v>0</v>
      </c>
      <c r="P27" s="567">
        <f t="shared" si="14"/>
        <v>0</v>
      </c>
      <c r="Q27" s="567">
        <f t="shared" si="14"/>
        <v>0</v>
      </c>
    </row>
    <row r="28" spans="1:17">
      <c r="A28" s="919"/>
      <c r="B28" s="175"/>
      <c r="C28" s="176"/>
      <c r="L28" s="140"/>
    </row>
    <row r="29" spans="1:17">
      <c r="A29" s="919"/>
      <c r="B29" s="181" t="s">
        <v>416</v>
      </c>
      <c r="C29" s="176"/>
      <c r="L29" s="140"/>
    </row>
    <row r="30" spans="1:17">
      <c r="A30" s="919">
        <v>5910</v>
      </c>
      <c r="B30" s="186" t="s">
        <v>417</v>
      </c>
      <c r="C30" s="632">
        <f>'Income &amp; OpEx'!M32</f>
        <v>0</v>
      </c>
      <c r="D30" s="500">
        <f>ROUND(C30*$H$120,0)</f>
        <v>0</v>
      </c>
      <c r="E30" s="500">
        <f t="shared" ref="E30:Q30" si="15">ROUND(D30*$H$120,0)</f>
        <v>0</v>
      </c>
      <c r="F30" s="500">
        <f t="shared" si="15"/>
        <v>0</v>
      </c>
      <c r="G30" s="500">
        <f t="shared" si="15"/>
        <v>0</v>
      </c>
      <c r="H30" s="500">
        <f t="shared" si="15"/>
        <v>0</v>
      </c>
      <c r="I30" s="500">
        <f t="shared" si="15"/>
        <v>0</v>
      </c>
      <c r="J30" s="500">
        <f t="shared" si="15"/>
        <v>0</v>
      </c>
      <c r="K30" s="500">
        <f t="shared" si="15"/>
        <v>0</v>
      </c>
      <c r="L30" s="563">
        <f t="shared" si="15"/>
        <v>0</v>
      </c>
      <c r="M30" s="485">
        <f t="shared" si="15"/>
        <v>0</v>
      </c>
      <c r="N30" s="485">
        <f t="shared" si="15"/>
        <v>0</v>
      </c>
      <c r="O30" s="485">
        <f t="shared" si="15"/>
        <v>0</v>
      </c>
      <c r="P30" s="485">
        <f t="shared" si="15"/>
        <v>0</v>
      </c>
      <c r="Q30" s="485">
        <f t="shared" si="15"/>
        <v>0</v>
      </c>
    </row>
    <row r="31" spans="1:17" hidden="1">
      <c r="A31" s="919">
        <v>5920</v>
      </c>
      <c r="B31" s="186" t="s">
        <v>418</v>
      </c>
      <c r="C31" s="632">
        <f>'Income &amp; OpEx'!M33</f>
        <v>0</v>
      </c>
      <c r="D31" s="500">
        <f>C31</f>
        <v>0</v>
      </c>
      <c r="E31" s="500">
        <f t="shared" ref="E31:Q31" si="16">D31</f>
        <v>0</v>
      </c>
      <c r="F31" s="500">
        <f t="shared" si="16"/>
        <v>0</v>
      </c>
      <c r="G31" s="500">
        <f t="shared" si="16"/>
        <v>0</v>
      </c>
      <c r="H31" s="500">
        <f t="shared" si="16"/>
        <v>0</v>
      </c>
      <c r="I31" s="500">
        <f t="shared" si="16"/>
        <v>0</v>
      </c>
      <c r="J31" s="500">
        <f t="shared" si="16"/>
        <v>0</v>
      </c>
      <c r="K31" s="500">
        <f t="shared" si="16"/>
        <v>0</v>
      </c>
      <c r="L31" s="563">
        <f t="shared" si="16"/>
        <v>0</v>
      </c>
      <c r="M31" s="485">
        <f t="shared" si="16"/>
        <v>0</v>
      </c>
      <c r="N31" s="485">
        <f t="shared" si="16"/>
        <v>0</v>
      </c>
      <c r="O31" s="485">
        <f t="shared" si="16"/>
        <v>0</v>
      </c>
      <c r="P31" s="485">
        <f t="shared" si="16"/>
        <v>0</v>
      </c>
      <c r="Q31" s="485">
        <f t="shared" si="16"/>
        <v>0</v>
      </c>
    </row>
    <row r="32" spans="1:17" hidden="1">
      <c r="A32" s="919">
        <v>5930</v>
      </c>
      <c r="B32" s="186" t="s">
        <v>419</v>
      </c>
      <c r="C32" s="632">
        <f>'Income &amp; OpEx'!M34</f>
        <v>0</v>
      </c>
      <c r="D32" s="500">
        <f t="shared" ref="D32:Q34" si="17">C32</f>
        <v>0</v>
      </c>
      <c r="E32" s="500">
        <f t="shared" si="17"/>
        <v>0</v>
      </c>
      <c r="F32" s="500">
        <f t="shared" si="17"/>
        <v>0</v>
      </c>
      <c r="G32" s="500">
        <f t="shared" si="17"/>
        <v>0</v>
      </c>
      <c r="H32" s="500">
        <f t="shared" si="17"/>
        <v>0</v>
      </c>
      <c r="I32" s="500">
        <f t="shared" si="17"/>
        <v>0</v>
      </c>
      <c r="J32" s="500">
        <f t="shared" si="17"/>
        <v>0</v>
      </c>
      <c r="K32" s="500">
        <f t="shared" si="17"/>
        <v>0</v>
      </c>
      <c r="L32" s="563">
        <f t="shared" si="17"/>
        <v>0</v>
      </c>
      <c r="M32" s="485">
        <f t="shared" si="17"/>
        <v>0</v>
      </c>
      <c r="N32" s="485">
        <f t="shared" si="17"/>
        <v>0</v>
      </c>
      <c r="O32" s="485">
        <f t="shared" si="17"/>
        <v>0</v>
      </c>
      <c r="P32" s="485">
        <f t="shared" si="17"/>
        <v>0</v>
      </c>
      <c r="Q32" s="485">
        <f t="shared" si="17"/>
        <v>0</v>
      </c>
    </row>
    <row r="33" spans="1:17">
      <c r="A33" s="919">
        <v>5940</v>
      </c>
      <c r="B33" s="186" t="s">
        <v>420</v>
      </c>
      <c r="C33" s="632">
        <f>'Income &amp; OpEx'!M35</f>
        <v>0</v>
      </c>
      <c r="D33" s="500">
        <f t="shared" si="17"/>
        <v>0</v>
      </c>
      <c r="E33" s="500">
        <f t="shared" si="17"/>
        <v>0</v>
      </c>
      <c r="F33" s="500">
        <f t="shared" si="17"/>
        <v>0</v>
      </c>
      <c r="G33" s="500">
        <f t="shared" si="17"/>
        <v>0</v>
      </c>
      <c r="H33" s="500">
        <f t="shared" si="17"/>
        <v>0</v>
      </c>
      <c r="I33" s="500">
        <f t="shared" si="17"/>
        <v>0</v>
      </c>
      <c r="J33" s="500">
        <f t="shared" si="17"/>
        <v>0</v>
      </c>
      <c r="K33" s="500">
        <f t="shared" si="17"/>
        <v>0</v>
      </c>
      <c r="L33" s="563">
        <f t="shared" si="17"/>
        <v>0</v>
      </c>
      <c r="M33" s="485">
        <f t="shared" si="17"/>
        <v>0</v>
      </c>
      <c r="N33" s="485">
        <f t="shared" si="17"/>
        <v>0</v>
      </c>
      <c r="O33" s="485">
        <f t="shared" si="17"/>
        <v>0</v>
      </c>
      <c r="P33" s="485">
        <f t="shared" si="17"/>
        <v>0</v>
      </c>
      <c r="Q33" s="485">
        <f t="shared" si="17"/>
        <v>0</v>
      </c>
    </row>
    <row r="34" spans="1:17" hidden="1">
      <c r="A34" s="919">
        <v>5990</v>
      </c>
      <c r="B34" s="186" t="s">
        <v>421</v>
      </c>
      <c r="C34" s="636">
        <f>'Income &amp; OpEx'!M36</f>
        <v>0</v>
      </c>
      <c r="D34" s="636">
        <f t="shared" si="17"/>
        <v>0</v>
      </c>
      <c r="E34" s="636">
        <f t="shared" si="17"/>
        <v>0</v>
      </c>
      <c r="F34" s="636">
        <f t="shared" si="17"/>
        <v>0</v>
      </c>
      <c r="G34" s="636">
        <f t="shared" si="17"/>
        <v>0</v>
      </c>
      <c r="H34" s="636">
        <f t="shared" si="17"/>
        <v>0</v>
      </c>
      <c r="I34" s="636">
        <f t="shared" si="17"/>
        <v>0</v>
      </c>
      <c r="J34" s="636">
        <f t="shared" si="17"/>
        <v>0</v>
      </c>
      <c r="K34" s="636">
        <f t="shared" si="17"/>
        <v>0</v>
      </c>
      <c r="L34" s="643">
        <f t="shared" si="17"/>
        <v>0</v>
      </c>
      <c r="M34" s="635">
        <f t="shared" si="17"/>
        <v>0</v>
      </c>
      <c r="N34" s="635">
        <f t="shared" si="17"/>
        <v>0</v>
      </c>
      <c r="O34" s="635">
        <f t="shared" si="17"/>
        <v>0</v>
      </c>
      <c r="P34" s="635">
        <f t="shared" si="17"/>
        <v>0</v>
      </c>
      <c r="Q34" s="635">
        <f t="shared" si="17"/>
        <v>0</v>
      </c>
    </row>
    <row r="35" spans="1:17">
      <c r="A35" s="919"/>
      <c r="B35" s="175"/>
      <c r="C35" s="1566">
        <f>SUM(C30:C34)</f>
        <v>0</v>
      </c>
      <c r="D35" s="1566">
        <f t="shared" ref="D35:Q35" si="18">SUM(D30:D34)</f>
        <v>0</v>
      </c>
      <c r="E35" s="1566">
        <f t="shared" si="18"/>
        <v>0</v>
      </c>
      <c r="F35" s="1566">
        <f t="shared" si="18"/>
        <v>0</v>
      </c>
      <c r="G35" s="1566">
        <f t="shared" si="18"/>
        <v>0</v>
      </c>
      <c r="H35" s="1566">
        <f t="shared" si="18"/>
        <v>0</v>
      </c>
      <c r="I35" s="1566">
        <f t="shared" si="18"/>
        <v>0</v>
      </c>
      <c r="J35" s="1566">
        <f t="shared" si="18"/>
        <v>0</v>
      </c>
      <c r="K35" s="1566">
        <f t="shared" si="18"/>
        <v>0</v>
      </c>
      <c r="L35" s="1584">
        <f t="shared" si="18"/>
        <v>0</v>
      </c>
      <c r="M35" s="567">
        <f t="shared" si="18"/>
        <v>0</v>
      </c>
      <c r="N35" s="567">
        <f t="shared" si="18"/>
        <v>0</v>
      </c>
      <c r="O35" s="567">
        <f t="shared" si="18"/>
        <v>0</v>
      </c>
      <c r="P35" s="567">
        <f t="shared" si="18"/>
        <v>0</v>
      </c>
      <c r="Q35" s="567">
        <f t="shared" si="18"/>
        <v>0</v>
      </c>
    </row>
    <row r="36" spans="1:17">
      <c r="A36" s="919"/>
      <c r="B36" s="175"/>
      <c r="C36" s="176"/>
      <c r="L36" s="140"/>
    </row>
    <row r="37" spans="1:17">
      <c r="A37" s="919"/>
      <c r="B37" s="189" t="s">
        <v>319</v>
      </c>
      <c r="C37" s="566">
        <f>C35+C27+C20</f>
        <v>0</v>
      </c>
      <c r="D37" s="566">
        <f t="shared" ref="D37:Q37" si="19">D35+D27+D20</f>
        <v>0</v>
      </c>
      <c r="E37" s="566">
        <f t="shared" si="19"/>
        <v>0</v>
      </c>
      <c r="F37" s="566">
        <f t="shared" si="19"/>
        <v>0</v>
      </c>
      <c r="G37" s="566">
        <f t="shared" si="19"/>
        <v>0</v>
      </c>
      <c r="H37" s="566">
        <f t="shared" si="19"/>
        <v>0</v>
      </c>
      <c r="I37" s="566">
        <f t="shared" si="19"/>
        <v>0</v>
      </c>
      <c r="J37" s="566">
        <f t="shared" si="19"/>
        <v>0</v>
      </c>
      <c r="K37" s="566">
        <f t="shared" si="19"/>
        <v>0</v>
      </c>
      <c r="L37" s="647">
        <f t="shared" si="19"/>
        <v>0</v>
      </c>
      <c r="M37" s="566">
        <f t="shared" si="19"/>
        <v>0</v>
      </c>
      <c r="N37" s="566">
        <f t="shared" si="19"/>
        <v>0</v>
      </c>
      <c r="O37" s="566">
        <f t="shared" si="19"/>
        <v>0</v>
      </c>
      <c r="P37" s="566">
        <f t="shared" si="19"/>
        <v>0</v>
      </c>
      <c r="Q37" s="566">
        <f t="shared" si="19"/>
        <v>0</v>
      </c>
    </row>
    <row r="38" spans="1:17">
      <c r="A38" s="919"/>
      <c r="B38" s="175"/>
      <c r="C38" s="176"/>
      <c r="L38" s="140"/>
    </row>
    <row r="39" spans="1:17">
      <c r="A39" s="919"/>
      <c r="B39" s="181" t="s">
        <v>422</v>
      </c>
      <c r="C39" s="176"/>
      <c r="L39" s="140"/>
    </row>
    <row r="40" spans="1:17">
      <c r="A40" s="919"/>
      <c r="B40" s="181" t="s">
        <v>423</v>
      </c>
      <c r="C40" s="176"/>
      <c r="L40" s="140"/>
    </row>
    <row r="41" spans="1:17" hidden="1">
      <c r="A41" s="919">
        <v>6203</v>
      </c>
      <c r="B41" s="186" t="s">
        <v>424</v>
      </c>
      <c r="C41" s="632">
        <f>'Income &amp; OpEx'!M44</f>
        <v>0</v>
      </c>
      <c r="D41" s="500">
        <f>+C41*$K$120</f>
        <v>0</v>
      </c>
      <c r="E41" s="500">
        <f t="shared" ref="E41:Q41" si="20">+D41*$K$120</f>
        <v>0</v>
      </c>
      <c r="F41" s="500">
        <f t="shared" si="20"/>
        <v>0</v>
      </c>
      <c r="G41" s="500">
        <f t="shared" si="20"/>
        <v>0</v>
      </c>
      <c r="H41" s="500">
        <f t="shared" si="20"/>
        <v>0</v>
      </c>
      <c r="I41" s="500">
        <f t="shared" si="20"/>
        <v>0</v>
      </c>
      <c r="J41" s="500">
        <f t="shared" si="20"/>
        <v>0</v>
      </c>
      <c r="K41" s="500">
        <f t="shared" si="20"/>
        <v>0</v>
      </c>
      <c r="L41" s="563">
        <f t="shared" si="20"/>
        <v>0</v>
      </c>
      <c r="M41" s="485">
        <f t="shared" si="20"/>
        <v>0</v>
      </c>
      <c r="N41" s="485">
        <f t="shared" si="20"/>
        <v>0</v>
      </c>
      <c r="O41" s="485">
        <f t="shared" si="20"/>
        <v>0</v>
      </c>
      <c r="P41" s="485">
        <f t="shared" si="20"/>
        <v>0</v>
      </c>
      <c r="Q41" s="485">
        <f t="shared" si="20"/>
        <v>0</v>
      </c>
    </row>
    <row r="42" spans="1:17" hidden="1">
      <c r="A42" s="919">
        <v>6204</v>
      </c>
      <c r="B42" s="186" t="s">
        <v>425</v>
      </c>
      <c r="C42" s="632">
        <f>'Income &amp; OpEx'!M45</f>
        <v>0</v>
      </c>
      <c r="D42" s="500">
        <f t="shared" ref="D42:Q57" si="21">+C42*$K$120</f>
        <v>0</v>
      </c>
      <c r="E42" s="500">
        <f t="shared" si="21"/>
        <v>0</v>
      </c>
      <c r="F42" s="500">
        <f t="shared" si="21"/>
        <v>0</v>
      </c>
      <c r="G42" s="500">
        <f t="shared" si="21"/>
        <v>0</v>
      </c>
      <c r="H42" s="500">
        <f t="shared" si="21"/>
        <v>0</v>
      </c>
      <c r="I42" s="500">
        <f t="shared" si="21"/>
        <v>0</v>
      </c>
      <c r="J42" s="500">
        <f t="shared" si="21"/>
        <v>0</v>
      </c>
      <c r="K42" s="500">
        <f t="shared" si="21"/>
        <v>0</v>
      </c>
      <c r="L42" s="563">
        <f t="shared" si="21"/>
        <v>0</v>
      </c>
      <c r="M42" s="485">
        <f t="shared" si="21"/>
        <v>0</v>
      </c>
      <c r="N42" s="485">
        <f t="shared" si="21"/>
        <v>0</v>
      </c>
      <c r="O42" s="485">
        <f t="shared" si="21"/>
        <v>0</v>
      </c>
      <c r="P42" s="485">
        <f t="shared" si="21"/>
        <v>0</v>
      </c>
      <c r="Q42" s="485">
        <f t="shared" si="21"/>
        <v>0</v>
      </c>
    </row>
    <row r="43" spans="1:17">
      <c r="A43" s="919">
        <v>6210</v>
      </c>
      <c r="B43" s="186" t="s">
        <v>426</v>
      </c>
      <c r="C43" s="632">
        <f>'Income &amp; OpEx'!M46</f>
        <v>0</v>
      </c>
      <c r="D43" s="500">
        <f t="shared" si="21"/>
        <v>0</v>
      </c>
      <c r="E43" s="500">
        <f t="shared" si="21"/>
        <v>0</v>
      </c>
      <c r="F43" s="500">
        <f t="shared" si="21"/>
        <v>0</v>
      </c>
      <c r="G43" s="500">
        <f t="shared" si="21"/>
        <v>0</v>
      </c>
      <c r="H43" s="500">
        <f t="shared" si="21"/>
        <v>0</v>
      </c>
      <c r="I43" s="500">
        <f t="shared" si="21"/>
        <v>0</v>
      </c>
      <c r="J43" s="500">
        <f t="shared" si="21"/>
        <v>0</v>
      </c>
      <c r="K43" s="500">
        <f t="shared" si="21"/>
        <v>0</v>
      </c>
      <c r="L43" s="563">
        <f t="shared" si="21"/>
        <v>0</v>
      </c>
      <c r="M43" s="485">
        <f t="shared" si="21"/>
        <v>0</v>
      </c>
      <c r="N43" s="485">
        <f t="shared" si="21"/>
        <v>0</v>
      </c>
      <c r="O43" s="485">
        <f t="shared" si="21"/>
        <v>0</v>
      </c>
      <c r="P43" s="485">
        <f t="shared" si="21"/>
        <v>0</v>
      </c>
      <c r="Q43" s="485">
        <f t="shared" si="21"/>
        <v>0</v>
      </c>
    </row>
    <row r="44" spans="1:17" hidden="1">
      <c r="A44" s="919">
        <v>6235</v>
      </c>
      <c r="B44" s="186" t="s">
        <v>427</v>
      </c>
      <c r="C44" s="632">
        <f>'Income &amp; OpEx'!M47</f>
        <v>0</v>
      </c>
      <c r="D44" s="500">
        <f t="shared" si="21"/>
        <v>0</v>
      </c>
      <c r="E44" s="500">
        <f t="shared" si="21"/>
        <v>0</v>
      </c>
      <c r="F44" s="500">
        <f t="shared" si="21"/>
        <v>0</v>
      </c>
      <c r="G44" s="500">
        <f t="shared" si="21"/>
        <v>0</v>
      </c>
      <c r="H44" s="500">
        <f t="shared" si="21"/>
        <v>0</v>
      </c>
      <c r="I44" s="500">
        <f t="shared" si="21"/>
        <v>0</v>
      </c>
      <c r="J44" s="500">
        <f t="shared" si="21"/>
        <v>0</v>
      </c>
      <c r="K44" s="500">
        <f t="shared" si="21"/>
        <v>0</v>
      </c>
      <c r="L44" s="563">
        <f t="shared" si="21"/>
        <v>0</v>
      </c>
      <c r="M44" s="485">
        <f t="shared" si="21"/>
        <v>0</v>
      </c>
      <c r="N44" s="485">
        <f t="shared" si="21"/>
        <v>0</v>
      </c>
      <c r="O44" s="485">
        <f t="shared" si="21"/>
        <v>0</v>
      </c>
      <c r="P44" s="485">
        <f t="shared" si="21"/>
        <v>0</v>
      </c>
      <c r="Q44" s="485">
        <f t="shared" si="21"/>
        <v>0</v>
      </c>
    </row>
    <row r="45" spans="1:17" hidden="1">
      <c r="A45" s="919">
        <v>6250</v>
      </c>
      <c r="B45" s="186" t="s">
        <v>428</v>
      </c>
      <c r="C45" s="632">
        <f>'Income &amp; OpEx'!M48</f>
        <v>0</v>
      </c>
      <c r="D45" s="500">
        <f t="shared" si="21"/>
        <v>0</v>
      </c>
      <c r="E45" s="500">
        <f t="shared" si="21"/>
        <v>0</v>
      </c>
      <c r="F45" s="500">
        <f t="shared" si="21"/>
        <v>0</v>
      </c>
      <c r="G45" s="500">
        <f t="shared" si="21"/>
        <v>0</v>
      </c>
      <c r="H45" s="500">
        <f t="shared" si="21"/>
        <v>0</v>
      </c>
      <c r="I45" s="500">
        <f t="shared" si="21"/>
        <v>0</v>
      </c>
      <c r="J45" s="500">
        <f t="shared" si="21"/>
        <v>0</v>
      </c>
      <c r="K45" s="500">
        <f t="shared" si="21"/>
        <v>0</v>
      </c>
      <c r="L45" s="563">
        <f t="shared" si="21"/>
        <v>0</v>
      </c>
      <c r="M45" s="485">
        <f t="shared" si="21"/>
        <v>0</v>
      </c>
      <c r="N45" s="485">
        <f t="shared" si="21"/>
        <v>0</v>
      </c>
      <c r="O45" s="485">
        <f t="shared" si="21"/>
        <v>0</v>
      </c>
      <c r="P45" s="485">
        <f t="shared" si="21"/>
        <v>0</v>
      </c>
      <c r="Q45" s="485">
        <f t="shared" si="21"/>
        <v>0</v>
      </c>
    </row>
    <row r="46" spans="1:17" hidden="1">
      <c r="A46" s="919">
        <v>6310</v>
      </c>
      <c r="B46" s="186" t="s">
        <v>429</v>
      </c>
      <c r="C46" s="632">
        <f>'Income &amp; OpEx'!M49</f>
        <v>0</v>
      </c>
      <c r="D46" s="500">
        <f t="shared" si="21"/>
        <v>0</v>
      </c>
      <c r="E46" s="500">
        <f t="shared" si="21"/>
        <v>0</v>
      </c>
      <c r="F46" s="500">
        <f t="shared" si="21"/>
        <v>0</v>
      </c>
      <c r="G46" s="500">
        <f t="shared" si="21"/>
        <v>0</v>
      </c>
      <c r="H46" s="500">
        <f t="shared" si="21"/>
        <v>0</v>
      </c>
      <c r="I46" s="500">
        <f t="shared" si="21"/>
        <v>0</v>
      </c>
      <c r="J46" s="500">
        <f t="shared" si="21"/>
        <v>0</v>
      </c>
      <c r="K46" s="500">
        <f t="shared" si="21"/>
        <v>0</v>
      </c>
      <c r="L46" s="563">
        <f t="shared" si="21"/>
        <v>0</v>
      </c>
      <c r="M46" s="485">
        <f t="shared" si="21"/>
        <v>0</v>
      </c>
      <c r="N46" s="485">
        <f t="shared" si="21"/>
        <v>0</v>
      </c>
      <c r="O46" s="485">
        <f t="shared" si="21"/>
        <v>0</v>
      </c>
      <c r="P46" s="485">
        <f t="shared" si="21"/>
        <v>0</v>
      </c>
      <c r="Q46" s="485">
        <f t="shared" si="21"/>
        <v>0</v>
      </c>
    </row>
    <row r="47" spans="1:17">
      <c r="A47" s="919">
        <v>6311</v>
      </c>
      <c r="B47" s="186" t="s">
        <v>430</v>
      </c>
      <c r="C47" s="632">
        <f>'Income &amp; OpEx'!M50</f>
        <v>0</v>
      </c>
      <c r="D47" s="500">
        <f t="shared" si="21"/>
        <v>0</v>
      </c>
      <c r="E47" s="500">
        <f t="shared" si="21"/>
        <v>0</v>
      </c>
      <c r="F47" s="500">
        <f t="shared" si="21"/>
        <v>0</v>
      </c>
      <c r="G47" s="500">
        <f t="shared" si="21"/>
        <v>0</v>
      </c>
      <c r="H47" s="500">
        <f t="shared" si="21"/>
        <v>0</v>
      </c>
      <c r="I47" s="500">
        <f t="shared" si="21"/>
        <v>0</v>
      </c>
      <c r="J47" s="500">
        <f t="shared" si="21"/>
        <v>0</v>
      </c>
      <c r="K47" s="500">
        <f t="shared" si="21"/>
        <v>0</v>
      </c>
      <c r="L47" s="563">
        <f t="shared" si="21"/>
        <v>0</v>
      </c>
      <c r="M47" s="485">
        <f t="shared" si="21"/>
        <v>0</v>
      </c>
      <c r="N47" s="485">
        <f t="shared" si="21"/>
        <v>0</v>
      </c>
      <c r="O47" s="485">
        <f t="shared" si="21"/>
        <v>0</v>
      </c>
      <c r="P47" s="485">
        <f t="shared" si="21"/>
        <v>0</v>
      </c>
      <c r="Q47" s="485">
        <f t="shared" si="21"/>
        <v>0</v>
      </c>
    </row>
    <row r="48" spans="1:17" hidden="1">
      <c r="A48" s="919">
        <v>6312</v>
      </c>
      <c r="B48" s="186" t="s">
        <v>431</v>
      </c>
      <c r="C48" s="632">
        <f>'Income &amp; OpEx'!M51</f>
        <v>0</v>
      </c>
      <c r="D48" s="500">
        <f>+C48*$K$120</f>
        <v>0</v>
      </c>
      <c r="E48" s="500">
        <f t="shared" si="21"/>
        <v>0</v>
      </c>
      <c r="F48" s="500">
        <f t="shared" si="21"/>
        <v>0</v>
      </c>
      <c r="G48" s="500">
        <f t="shared" si="21"/>
        <v>0</v>
      </c>
      <c r="H48" s="500">
        <f t="shared" si="21"/>
        <v>0</v>
      </c>
      <c r="I48" s="500">
        <f t="shared" si="21"/>
        <v>0</v>
      </c>
      <c r="J48" s="500">
        <f t="shared" si="21"/>
        <v>0</v>
      </c>
      <c r="K48" s="500">
        <f t="shared" si="21"/>
        <v>0</v>
      </c>
      <c r="L48" s="563">
        <f t="shared" si="21"/>
        <v>0</v>
      </c>
      <c r="M48" s="485">
        <f t="shared" si="21"/>
        <v>0</v>
      </c>
      <c r="N48" s="485">
        <f t="shared" si="21"/>
        <v>0</v>
      </c>
      <c r="O48" s="485">
        <f t="shared" si="21"/>
        <v>0</v>
      </c>
      <c r="P48" s="485">
        <f t="shared" si="21"/>
        <v>0</v>
      </c>
      <c r="Q48" s="485">
        <f t="shared" si="21"/>
        <v>0</v>
      </c>
    </row>
    <row r="49" spans="1:17">
      <c r="A49" s="919">
        <v>6320</v>
      </c>
      <c r="B49" s="186" t="s">
        <v>432</v>
      </c>
      <c r="C49" s="632">
        <f>'Income &amp; OpEx'!M17</f>
        <v>0</v>
      </c>
      <c r="D49" s="632">
        <f>'Income &amp; OpEx'!$U$52*'Warehouse - 10 Year CF'!D37</f>
        <v>0</v>
      </c>
      <c r="E49" s="632">
        <f>'Income &amp; OpEx'!$U$52*'Warehouse - 10 Year CF'!E37</f>
        <v>0</v>
      </c>
      <c r="F49" s="632">
        <f>'Income &amp; OpEx'!$U$52*'Warehouse - 10 Year CF'!F37</f>
        <v>0</v>
      </c>
      <c r="G49" s="632">
        <f>'Income &amp; OpEx'!$U$52*'Warehouse - 10 Year CF'!G37</f>
        <v>0</v>
      </c>
      <c r="H49" s="632">
        <f>'Income &amp; OpEx'!$U$52*'Warehouse - 10 Year CF'!H37</f>
        <v>0</v>
      </c>
      <c r="I49" s="632">
        <f>'Income &amp; OpEx'!$U$52*'Warehouse - 10 Year CF'!I37</f>
        <v>0</v>
      </c>
      <c r="J49" s="632">
        <f>'Income &amp; OpEx'!$U$52*'Warehouse - 10 Year CF'!J37</f>
        <v>0</v>
      </c>
      <c r="K49" s="632">
        <f>'Income &amp; OpEx'!$U$52*'Warehouse - 10 Year CF'!K37</f>
        <v>0</v>
      </c>
      <c r="L49" s="648">
        <f>'Income &amp; OpEx'!$U$52*'Warehouse - 10 Year CF'!L37</f>
        <v>0</v>
      </c>
      <c r="M49" s="485">
        <f t="shared" si="21"/>
        <v>0</v>
      </c>
      <c r="N49" s="485">
        <f t="shared" si="21"/>
        <v>0</v>
      </c>
      <c r="O49" s="485">
        <f t="shared" si="21"/>
        <v>0</v>
      </c>
      <c r="P49" s="485">
        <f t="shared" si="21"/>
        <v>0</v>
      </c>
      <c r="Q49" s="485">
        <f t="shared" si="21"/>
        <v>0</v>
      </c>
    </row>
    <row r="50" spans="1:17" hidden="1">
      <c r="A50" s="919"/>
      <c r="B50" s="186" t="s">
        <v>433</v>
      </c>
      <c r="C50" s="632">
        <f>'Income &amp; OpEx'!M53</f>
        <v>0</v>
      </c>
      <c r="D50" s="500">
        <f t="shared" si="21"/>
        <v>0</v>
      </c>
      <c r="E50" s="500">
        <f t="shared" si="21"/>
        <v>0</v>
      </c>
      <c r="F50" s="500">
        <f t="shared" si="21"/>
        <v>0</v>
      </c>
      <c r="G50" s="500">
        <f t="shared" si="21"/>
        <v>0</v>
      </c>
      <c r="H50" s="500">
        <f t="shared" si="21"/>
        <v>0</v>
      </c>
      <c r="I50" s="500">
        <f t="shared" si="21"/>
        <v>0</v>
      </c>
      <c r="J50" s="500">
        <f t="shared" si="21"/>
        <v>0</v>
      </c>
      <c r="K50" s="500">
        <f t="shared" si="21"/>
        <v>0</v>
      </c>
      <c r="L50" s="563">
        <f t="shared" si="21"/>
        <v>0</v>
      </c>
      <c r="M50" s="485">
        <f t="shared" si="21"/>
        <v>0</v>
      </c>
      <c r="N50" s="485">
        <f t="shared" si="21"/>
        <v>0</v>
      </c>
      <c r="O50" s="485">
        <f t="shared" si="21"/>
        <v>0</v>
      </c>
      <c r="P50" s="485">
        <f t="shared" si="21"/>
        <v>0</v>
      </c>
      <c r="Q50" s="485">
        <f t="shared" si="21"/>
        <v>0</v>
      </c>
    </row>
    <row r="51" spans="1:17" hidden="1">
      <c r="A51" s="919">
        <v>6321</v>
      </c>
      <c r="B51" s="186" t="s">
        <v>434</v>
      </c>
      <c r="C51" s="632">
        <f>'Income &amp; OpEx'!M54</f>
        <v>0</v>
      </c>
      <c r="D51" s="500">
        <f t="shared" si="21"/>
        <v>0</v>
      </c>
      <c r="E51" s="500">
        <f t="shared" si="21"/>
        <v>0</v>
      </c>
      <c r="F51" s="500">
        <f t="shared" si="21"/>
        <v>0</v>
      </c>
      <c r="G51" s="500">
        <f t="shared" si="21"/>
        <v>0</v>
      </c>
      <c r="H51" s="500">
        <f t="shared" si="21"/>
        <v>0</v>
      </c>
      <c r="I51" s="500">
        <f t="shared" si="21"/>
        <v>0</v>
      </c>
      <c r="J51" s="500">
        <f t="shared" si="21"/>
        <v>0</v>
      </c>
      <c r="K51" s="500">
        <f t="shared" si="21"/>
        <v>0</v>
      </c>
      <c r="L51" s="563">
        <f t="shared" si="21"/>
        <v>0</v>
      </c>
      <c r="M51" s="485">
        <f t="shared" si="21"/>
        <v>0</v>
      </c>
      <c r="N51" s="485">
        <f t="shared" si="21"/>
        <v>0</v>
      </c>
      <c r="O51" s="485">
        <f t="shared" si="21"/>
        <v>0</v>
      </c>
      <c r="P51" s="485">
        <f t="shared" si="21"/>
        <v>0</v>
      </c>
      <c r="Q51" s="485">
        <f t="shared" si="21"/>
        <v>0</v>
      </c>
    </row>
    <row r="52" spans="1:17">
      <c r="A52" s="919">
        <v>6330</v>
      </c>
      <c r="B52" s="186" t="s">
        <v>435</v>
      </c>
      <c r="C52" s="632">
        <f>'Income &amp; OpEx'!M55</f>
        <v>0</v>
      </c>
      <c r="D52" s="500">
        <f t="shared" si="21"/>
        <v>0</v>
      </c>
      <c r="E52" s="500">
        <f t="shared" si="21"/>
        <v>0</v>
      </c>
      <c r="F52" s="500">
        <f t="shared" si="21"/>
        <v>0</v>
      </c>
      <c r="G52" s="500">
        <f t="shared" si="21"/>
        <v>0</v>
      </c>
      <c r="H52" s="500">
        <f t="shared" si="21"/>
        <v>0</v>
      </c>
      <c r="I52" s="500">
        <f t="shared" si="21"/>
        <v>0</v>
      </c>
      <c r="J52" s="500">
        <f t="shared" si="21"/>
        <v>0</v>
      </c>
      <c r="K52" s="500">
        <f t="shared" si="21"/>
        <v>0</v>
      </c>
      <c r="L52" s="563">
        <f t="shared" si="21"/>
        <v>0</v>
      </c>
      <c r="M52" s="485">
        <f t="shared" si="21"/>
        <v>0</v>
      </c>
      <c r="N52" s="485">
        <f t="shared" si="21"/>
        <v>0</v>
      </c>
      <c r="O52" s="485">
        <f t="shared" si="21"/>
        <v>0</v>
      </c>
      <c r="P52" s="485">
        <f t="shared" si="21"/>
        <v>0</v>
      </c>
      <c r="Q52" s="485">
        <f t="shared" si="21"/>
        <v>0</v>
      </c>
    </row>
    <row r="53" spans="1:17" hidden="1">
      <c r="A53" s="919">
        <v>6331</v>
      </c>
      <c r="B53" s="186" t="s">
        <v>436</v>
      </c>
      <c r="C53" s="632">
        <f>'Income &amp; OpEx'!M56</f>
        <v>0</v>
      </c>
      <c r="D53" s="500">
        <f t="shared" si="21"/>
        <v>0</v>
      </c>
      <c r="E53" s="500">
        <f t="shared" si="21"/>
        <v>0</v>
      </c>
      <c r="F53" s="500">
        <f t="shared" si="21"/>
        <v>0</v>
      </c>
      <c r="G53" s="500">
        <f t="shared" si="21"/>
        <v>0</v>
      </c>
      <c r="H53" s="500">
        <f t="shared" si="21"/>
        <v>0</v>
      </c>
      <c r="I53" s="500">
        <f t="shared" si="21"/>
        <v>0</v>
      </c>
      <c r="J53" s="500">
        <f t="shared" si="21"/>
        <v>0</v>
      </c>
      <c r="K53" s="500">
        <f t="shared" si="21"/>
        <v>0</v>
      </c>
      <c r="L53" s="563">
        <f t="shared" si="21"/>
        <v>0</v>
      </c>
      <c r="M53" s="485">
        <f t="shared" si="21"/>
        <v>0</v>
      </c>
      <c r="N53" s="485">
        <f t="shared" si="21"/>
        <v>0</v>
      </c>
      <c r="O53" s="485">
        <f t="shared" si="21"/>
        <v>0</v>
      </c>
      <c r="P53" s="485">
        <f t="shared" si="21"/>
        <v>0</v>
      </c>
      <c r="Q53" s="485">
        <f t="shared" si="21"/>
        <v>0</v>
      </c>
    </row>
    <row r="54" spans="1:17">
      <c r="A54" s="919">
        <v>6340</v>
      </c>
      <c r="B54" s="186" t="s">
        <v>437</v>
      </c>
      <c r="C54" s="632">
        <f>'Income &amp; OpEx'!M57</f>
        <v>0</v>
      </c>
      <c r="D54" s="500">
        <f t="shared" si="21"/>
        <v>0</v>
      </c>
      <c r="E54" s="500">
        <f t="shared" si="21"/>
        <v>0</v>
      </c>
      <c r="F54" s="500">
        <f t="shared" si="21"/>
        <v>0</v>
      </c>
      <c r="G54" s="500">
        <f t="shared" si="21"/>
        <v>0</v>
      </c>
      <c r="H54" s="500">
        <f t="shared" si="21"/>
        <v>0</v>
      </c>
      <c r="I54" s="500">
        <f t="shared" si="21"/>
        <v>0</v>
      </c>
      <c r="J54" s="500">
        <f t="shared" si="21"/>
        <v>0</v>
      </c>
      <c r="K54" s="500">
        <f t="shared" si="21"/>
        <v>0</v>
      </c>
      <c r="L54" s="563">
        <f t="shared" si="21"/>
        <v>0</v>
      </c>
      <c r="M54" s="485">
        <f t="shared" si="21"/>
        <v>0</v>
      </c>
      <c r="N54" s="485">
        <f t="shared" si="21"/>
        <v>0</v>
      </c>
      <c r="O54" s="485">
        <f t="shared" si="21"/>
        <v>0</v>
      </c>
      <c r="P54" s="485">
        <f t="shared" si="21"/>
        <v>0</v>
      </c>
      <c r="Q54" s="485">
        <f t="shared" si="21"/>
        <v>0</v>
      </c>
    </row>
    <row r="55" spans="1:17">
      <c r="A55" s="919">
        <v>6350</v>
      </c>
      <c r="B55" s="186" t="s">
        <v>438</v>
      </c>
      <c r="C55" s="632">
        <f>'Income &amp; OpEx'!M58</f>
        <v>0</v>
      </c>
      <c r="D55" s="500">
        <f t="shared" si="21"/>
        <v>0</v>
      </c>
      <c r="E55" s="500">
        <f t="shared" si="21"/>
        <v>0</v>
      </c>
      <c r="F55" s="500">
        <f t="shared" si="21"/>
        <v>0</v>
      </c>
      <c r="G55" s="500">
        <f t="shared" si="21"/>
        <v>0</v>
      </c>
      <c r="H55" s="500">
        <f t="shared" si="21"/>
        <v>0</v>
      </c>
      <c r="I55" s="500">
        <f t="shared" si="21"/>
        <v>0</v>
      </c>
      <c r="J55" s="500">
        <f t="shared" si="21"/>
        <v>0</v>
      </c>
      <c r="K55" s="500">
        <f t="shared" si="21"/>
        <v>0</v>
      </c>
      <c r="L55" s="563">
        <f t="shared" si="21"/>
        <v>0</v>
      </c>
      <c r="M55" s="485">
        <f t="shared" si="21"/>
        <v>0</v>
      </c>
      <c r="N55" s="485">
        <f t="shared" si="21"/>
        <v>0</v>
      </c>
      <c r="O55" s="485">
        <f t="shared" si="21"/>
        <v>0</v>
      </c>
      <c r="P55" s="485">
        <f t="shared" si="21"/>
        <v>0</v>
      </c>
      <c r="Q55" s="485">
        <f t="shared" si="21"/>
        <v>0</v>
      </c>
    </row>
    <row r="56" spans="1:17" hidden="1">
      <c r="A56" s="919">
        <v>6351</v>
      </c>
      <c r="B56" s="186" t="s">
        <v>439</v>
      </c>
      <c r="C56" s="632">
        <f>'Income &amp; OpEx'!M59</f>
        <v>0</v>
      </c>
      <c r="D56" s="500">
        <f t="shared" si="21"/>
        <v>0</v>
      </c>
      <c r="E56" s="500">
        <f t="shared" si="21"/>
        <v>0</v>
      </c>
      <c r="F56" s="500">
        <f t="shared" si="21"/>
        <v>0</v>
      </c>
      <c r="G56" s="500">
        <f t="shared" si="21"/>
        <v>0</v>
      </c>
      <c r="H56" s="500">
        <f t="shared" si="21"/>
        <v>0</v>
      </c>
      <c r="I56" s="500">
        <f t="shared" si="21"/>
        <v>0</v>
      </c>
      <c r="J56" s="500">
        <f t="shared" si="21"/>
        <v>0</v>
      </c>
      <c r="K56" s="500">
        <f t="shared" si="21"/>
        <v>0</v>
      </c>
      <c r="L56" s="563">
        <f t="shared" si="21"/>
        <v>0</v>
      </c>
      <c r="M56" s="485">
        <f t="shared" si="21"/>
        <v>0</v>
      </c>
      <c r="N56" s="485">
        <f t="shared" si="21"/>
        <v>0</v>
      </c>
      <c r="O56" s="485">
        <f t="shared" si="21"/>
        <v>0</v>
      </c>
      <c r="P56" s="485">
        <f t="shared" si="21"/>
        <v>0</v>
      </c>
      <c r="Q56" s="485">
        <f t="shared" si="21"/>
        <v>0</v>
      </c>
    </row>
    <row r="57" spans="1:17" hidden="1">
      <c r="A57" s="919">
        <v>6360</v>
      </c>
      <c r="B57" s="186" t="s">
        <v>440</v>
      </c>
      <c r="C57" s="632">
        <f>'Income &amp; OpEx'!M60</f>
        <v>0</v>
      </c>
      <c r="D57" s="500">
        <f t="shared" si="21"/>
        <v>0</v>
      </c>
      <c r="E57" s="500">
        <f t="shared" si="21"/>
        <v>0</v>
      </c>
      <c r="F57" s="500">
        <f t="shared" si="21"/>
        <v>0</v>
      </c>
      <c r="G57" s="500">
        <f t="shared" si="21"/>
        <v>0</v>
      </c>
      <c r="H57" s="500">
        <f t="shared" si="21"/>
        <v>0</v>
      </c>
      <c r="I57" s="500">
        <f t="shared" si="21"/>
        <v>0</v>
      </c>
      <c r="J57" s="500">
        <f t="shared" si="21"/>
        <v>0</v>
      </c>
      <c r="K57" s="500">
        <f t="shared" si="21"/>
        <v>0</v>
      </c>
      <c r="L57" s="563">
        <f t="shared" si="21"/>
        <v>0</v>
      </c>
      <c r="M57" s="485">
        <f t="shared" si="21"/>
        <v>0</v>
      </c>
      <c r="N57" s="485">
        <f t="shared" si="21"/>
        <v>0</v>
      </c>
      <c r="O57" s="485">
        <f t="shared" si="21"/>
        <v>0</v>
      </c>
      <c r="P57" s="485">
        <f t="shared" si="21"/>
        <v>0</v>
      </c>
      <c r="Q57" s="485">
        <f t="shared" si="21"/>
        <v>0</v>
      </c>
    </row>
    <row r="58" spans="1:17" hidden="1">
      <c r="A58" s="919">
        <v>6370</v>
      </c>
      <c r="B58" s="186" t="s">
        <v>441</v>
      </c>
      <c r="C58" s="632">
        <f>'Income &amp; OpEx'!M61</f>
        <v>0</v>
      </c>
      <c r="D58" s="500">
        <f t="shared" ref="D58:Q59" si="22">+C58*$K$120</f>
        <v>0</v>
      </c>
      <c r="E58" s="500">
        <f t="shared" si="22"/>
        <v>0</v>
      </c>
      <c r="F58" s="500">
        <f t="shared" si="22"/>
        <v>0</v>
      </c>
      <c r="G58" s="500">
        <f t="shared" si="22"/>
        <v>0</v>
      </c>
      <c r="H58" s="500">
        <f t="shared" si="22"/>
        <v>0</v>
      </c>
      <c r="I58" s="500">
        <f t="shared" si="22"/>
        <v>0</v>
      </c>
      <c r="J58" s="500">
        <f t="shared" si="22"/>
        <v>0</v>
      </c>
      <c r="K58" s="500">
        <f t="shared" si="22"/>
        <v>0</v>
      </c>
      <c r="L58" s="563">
        <f t="shared" si="22"/>
        <v>0</v>
      </c>
      <c r="M58" s="485">
        <f t="shared" si="22"/>
        <v>0</v>
      </c>
      <c r="N58" s="485">
        <f t="shared" si="22"/>
        <v>0</v>
      </c>
      <c r="O58" s="485">
        <f t="shared" si="22"/>
        <v>0</v>
      </c>
      <c r="P58" s="485">
        <f t="shared" si="22"/>
        <v>0</v>
      </c>
      <c r="Q58" s="485">
        <f t="shared" si="22"/>
        <v>0</v>
      </c>
    </row>
    <row r="59" spans="1:17" hidden="1">
      <c r="A59" s="919">
        <v>6390</v>
      </c>
      <c r="B59" s="186" t="s">
        <v>442</v>
      </c>
      <c r="C59" s="636">
        <f>'Income &amp; OpEx'!M62</f>
        <v>0</v>
      </c>
      <c r="D59" s="636">
        <f t="shared" si="22"/>
        <v>0</v>
      </c>
      <c r="E59" s="636">
        <f t="shared" si="22"/>
        <v>0</v>
      </c>
      <c r="F59" s="636">
        <f t="shared" si="22"/>
        <v>0</v>
      </c>
      <c r="G59" s="636">
        <f t="shared" si="22"/>
        <v>0</v>
      </c>
      <c r="H59" s="636">
        <f t="shared" si="22"/>
        <v>0</v>
      </c>
      <c r="I59" s="636">
        <f t="shared" si="22"/>
        <v>0</v>
      </c>
      <c r="J59" s="636">
        <f t="shared" si="22"/>
        <v>0</v>
      </c>
      <c r="K59" s="636">
        <f t="shared" si="22"/>
        <v>0</v>
      </c>
      <c r="L59" s="643">
        <f t="shared" si="22"/>
        <v>0</v>
      </c>
      <c r="M59" s="635">
        <f t="shared" si="22"/>
        <v>0</v>
      </c>
      <c r="N59" s="635">
        <f t="shared" si="22"/>
        <v>0</v>
      </c>
      <c r="O59" s="635">
        <f t="shared" si="22"/>
        <v>0</v>
      </c>
      <c r="P59" s="635">
        <f t="shared" si="22"/>
        <v>0</v>
      </c>
      <c r="Q59" s="635">
        <f t="shared" si="22"/>
        <v>0</v>
      </c>
    </row>
    <row r="60" spans="1:17">
      <c r="A60" s="919"/>
      <c r="B60" s="175"/>
      <c r="C60" s="1566">
        <f t="shared" ref="C60:Q60" si="23">SUM(C41:C59)</f>
        <v>0</v>
      </c>
      <c r="D60" s="1566">
        <f t="shared" si="23"/>
        <v>0</v>
      </c>
      <c r="E60" s="1566">
        <f t="shared" si="23"/>
        <v>0</v>
      </c>
      <c r="F60" s="1566">
        <f t="shared" si="23"/>
        <v>0</v>
      </c>
      <c r="G60" s="1566">
        <f t="shared" si="23"/>
        <v>0</v>
      </c>
      <c r="H60" s="1566">
        <f t="shared" si="23"/>
        <v>0</v>
      </c>
      <c r="I60" s="1566">
        <f t="shared" si="23"/>
        <v>0</v>
      </c>
      <c r="J60" s="1566">
        <f t="shared" si="23"/>
        <v>0</v>
      </c>
      <c r="K60" s="1566">
        <f t="shared" si="23"/>
        <v>0</v>
      </c>
      <c r="L60" s="1584">
        <f t="shared" si="23"/>
        <v>0</v>
      </c>
      <c r="M60" s="567">
        <f t="shared" si="23"/>
        <v>0</v>
      </c>
      <c r="N60" s="567">
        <f t="shared" si="23"/>
        <v>0</v>
      </c>
      <c r="O60" s="567">
        <f t="shared" si="23"/>
        <v>0</v>
      </c>
      <c r="P60" s="567">
        <f t="shared" si="23"/>
        <v>0</v>
      </c>
      <c r="Q60" s="567">
        <f t="shared" si="23"/>
        <v>0</v>
      </c>
    </row>
    <row r="61" spans="1:17">
      <c r="A61" s="919"/>
      <c r="B61" s="175"/>
      <c r="C61" s="176"/>
      <c r="L61" s="140"/>
    </row>
    <row r="62" spans="1:17">
      <c r="A62" s="919"/>
      <c r="B62" s="181" t="s">
        <v>443</v>
      </c>
      <c r="C62" s="176"/>
      <c r="L62" s="140"/>
    </row>
    <row r="63" spans="1:17" hidden="1">
      <c r="A63" s="919">
        <v>6420</v>
      </c>
      <c r="B63" s="186" t="s">
        <v>444</v>
      </c>
      <c r="C63" s="632">
        <f>'Income &amp; OpEx'!M68</f>
        <v>0</v>
      </c>
      <c r="D63" s="500">
        <f>+C63*$K$120</f>
        <v>0</v>
      </c>
      <c r="E63" s="500">
        <f t="shared" ref="E63:Q63" si="24">+D63*$K$120</f>
        <v>0</v>
      </c>
      <c r="F63" s="500">
        <f t="shared" si="24"/>
        <v>0</v>
      </c>
      <c r="G63" s="500">
        <f t="shared" si="24"/>
        <v>0</v>
      </c>
      <c r="H63" s="500">
        <f t="shared" si="24"/>
        <v>0</v>
      </c>
      <c r="I63" s="500">
        <f t="shared" si="24"/>
        <v>0</v>
      </c>
      <c r="J63" s="500">
        <f t="shared" si="24"/>
        <v>0</v>
      </c>
      <c r="K63" s="500">
        <f t="shared" si="24"/>
        <v>0</v>
      </c>
      <c r="L63" s="563">
        <f t="shared" si="24"/>
        <v>0</v>
      </c>
      <c r="M63" s="485">
        <f t="shared" si="24"/>
        <v>0</v>
      </c>
      <c r="N63" s="485">
        <f t="shared" si="24"/>
        <v>0</v>
      </c>
      <c r="O63" s="485">
        <f t="shared" si="24"/>
        <v>0</v>
      </c>
      <c r="P63" s="485">
        <f t="shared" si="24"/>
        <v>0</v>
      </c>
      <c r="Q63" s="485">
        <f t="shared" si="24"/>
        <v>0</v>
      </c>
    </row>
    <row r="64" spans="1:17">
      <c r="A64" s="919">
        <v>6450</v>
      </c>
      <c r="B64" s="186" t="s">
        <v>445</v>
      </c>
      <c r="C64" s="632">
        <f>'Income &amp; OpEx'!M69</f>
        <v>0</v>
      </c>
      <c r="D64" s="500">
        <f t="shared" ref="D64:Q68" si="25">+C64*$K$120</f>
        <v>0</v>
      </c>
      <c r="E64" s="500">
        <f t="shared" si="25"/>
        <v>0</v>
      </c>
      <c r="F64" s="500">
        <f t="shared" si="25"/>
        <v>0</v>
      </c>
      <c r="G64" s="500">
        <f t="shared" si="25"/>
        <v>0</v>
      </c>
      <c r="H64" s="500">
        <f t="shared" si="25"/>
        <v>0</v>
      </c>
      <c r="I64" s="500">
        <f t="shared" si="25"/>
        <v>0</v>
      </c>
      <c r="J64" s="500">
        <f t="shared" si="25"/>
        <v>0</v>
      </c>
      <c r="K64" s="500">
        <f t="shared" si="25"/>
        <v>0</v>
      </c>
      <c r="L64" s="563">
        <f t="shared" si="25"/>
        <v>0</v>
      </c>
      <c r="M64" s="485">
        <f t="shared" si="25"/>
        <v>0</v>
      </c>
      <c r="N64" s="485">
        <f t="shared" si="25"/>
        <v>0</v>
      </c>
      <c r="O64" s="485">
        <f t="shared" si="25"/>
        <v>0</v>
      </c>
      <c r="P64" s="485">
        <f t="shared" si="25"/>
        <v>0</v>
      </c>
      <c r="Q64" s="485">
        <f t="shared" si="25"/>
        <v>0</v>
      </c>
    </row>
    <row r="65" spans="1:17" hidden="1">
      <c r="A65" s="919"/>
      <c r="B65" s="186" t="s">
        <v>446</v>
      </c>
      <c r="C65" s="632">
        <f>'Income &amp; OpEx'!M70</f>
        <v>0</v>
      </c>
      <c r="D65" s="500">
        <f t="shared" si="25"/>
        <v>0</v>
      </c>
      <c r="E65" s="500">
        <f t="shared" si="25"/>
        <v>0</v>
      </c>
      <c r="F65" s="500">
        <f t="shared" si="25"/>
        <v>0</v>
      </c>
      <c r="G65" s="500">
        <f t="shared" si="25"/>
        <v>0</v>
      </c>
      <c r="H65" s="500">
        <f t="shared" si="25"/>
        <v>0</v>
      </c>
      <c r="I65" s="500">
        <f t="shared" si="25"/>
        <v>0</v>
      </c>
      <c r="J65" s="500">
        <f t="shared" si="25"/>
        <v>0</v>
      </c>
      <c r="K65" s="500">
        <f t="shared" si="25"/>
        <v>0</v>
      </c>
      <c r="L65" s="563">
        <f t="shared" si="25"/>
        <v>0</v>
      </c>
      <c r="M65" s="485">
        <f t="shared" si="25"/>
        <v>0</v>
      </c>
      <c r="N65" s="485">
        <f t="shared" si="25"/>
        <v>0</v>
      </c>
      <c r="O65" s="485">
        <f t="shared" si="25"/>
        <v>0</v>
      </c>
      <c r="P65" s="485">
        <f t="shared" si="25"/>
        <v>0</v>
      </c>
      <c r="Q65" s="485">
        <f t="shared" si="25"/>
        <v>0</v>
      </c>
    </row>
    <row r="66" spans="1:17">
      <c r="A66" s="919">
        <v>6451</v>
      </c>
      <c r="B66" s="186" t="s">
        <v>447</v>
      </c>
      <c r="C66" s="632">
        <f>'Income &amp; OpEx'!M71</f>
        <v>0</v>
      </c>
      <c r="D66" s="500">
        <f t="shared" si="25"/>
        <v>0</v>
      </c>
      <c r="E66" s="500">
        <f t="shared" si="25"/>
        <v>0</v>
      </c>
      <c r="F66" s="500">
        <f t="shared" si="25"/>
        <v>0</v>
      </c>
      <c r="G66" s="500">
        <f t="shared" si="25"/>
        <v>0</v>
      </c>
      <c r="H66" s="500">
        <f t="shared" si="25"/>
        <v>0</v>
      </c>
      <c r="I66" s="500">
        <f t="shared" si="25"/>
        <v>0</v>
      </c>
      <c r="J66" s="500">
        <f t="shared" si="25"/>
        <v>0</v>
      </c>
      <c r="K66" s="500">
        <f t="shared" si="25"/>
        <v>0</v>
      </c>
      <c r="L66" s="563">
        <f t="shared" si="25"/>
        <v>0</v>
      </c>
      <c r="M66" s="485">
        <f t="shared" si="25"/>
        <v>0</v>
      </c>
      <c r="N66" s="485">
        <f t="shared" si="25"/>
        <v>0</v>
      </c>
      <c r="O66" s="485">
        <f t="shared" si="25"/>
        <v>0</v>
      </c>
      <c r="P66" s="485">
        <f t="shared" si="25"/>
        <v>0</v>
      </c>
      <c r="Q66" s="485">
        <f t="shared" si="25"/>
        <v>0</v>
      </c>
    </row>
    <row r="67" spans="1:17">
      <c r="A67" s="919">
        <v>6452</v>
      </c>
      <c r="B67" s="186" t="s">
        <v>448</v>
      </c>
      <c r="C67" s="632">
        <f>'Income &amp; OpEx'!M72</f>
        <v>0</v>
      </c>
      <c r="D67" s="500">
        <f t="shared" si="25"/>
        <v>0</v>
      </c>
      <c r="E67" s="500">
        <f t="shared" si="25"/>
        <v>0</v>
      </c>
      <c r="F67" s="500">
        <f t="shared" si="25"/>
        <v>0</v>
      </c>
      <c r="G67" s="500">
        <f t="shared" si="25"/>
        <v>0</v>
      </c>
      <c r="H67" s="500">
        <f t="shared" si="25"/>
        <v>0</v>
      </c>
      <c r="I67" s="500">
        <f t="shared" si="25"/>
        <v>0</v>
      </c>
      <c r="J67" s="500">
        <f t="shared" si="25"/>
        <v>0</v>
      </c>
      <c r="K67" s="500">
        <f t="shared" si="25"/>
        <v>0</v>
      </c>
      <c r="L67" s="563">
        <f t="shared" si="25"/>
        <v>0</v>
      </c>
      <c r="M67" s="485">
        <f t="shared" si="25"/>
        <v>0</v>
      </c>
      <c r="N67" s="485">
        <f t="shared" si="25"/>
        <v>0</v>
      </c>
      <c r="O67" s="485">
        <f t="shared" si="25"/>
        <v>0</v>
      </c>
      <c r="P67" s="485">
        <f t="shared" si="25"/>
        <v>0</v>
      </c>
      <c r="Q67" s="485">
        <f t="shared" si="25"/>
        <v>0</v>
      </c>
    </row>
    <row r="68" spans="1:17" hidden="1">
      <c r="A68" s="919">
        <v>6453</v>
      </c>
      <c r="B68" s="186" t="s">
        <v>449</v>
      </c>
      <c r="C68" s="636">
        <f>'Income &amp; OpEx'!M73</f>
        <v>0</v>
      </c>
      <c r="D68" s="636">
        <f t="shared" si="25"/>
        <v>0</v>
      </c>
      <c r="E68" s="636">
        <f t="shared" si="25"/>
        <v>0</v>
      </c>
      <c r="F68" s="636">
        <f t="shared" si="25"/>
        <v>0</v>
      </c>
      <c r="G68" s="636">
        <f t="shared" si="25"/>
        <v>0</v>
      </c>
      <c r="H68" s="636">
        <f t="shared" si="25"/>
        <v>0</v>
      </c>
      <c r="I68" s="636">
        <f t="shared" si="25"/>
        <v>0</v>
      </c>
      <c r="J68" s="636">
        <f t="shared" si="25"/>
        <v>0</v>
      </c>
      <c r="K68" s="636">
        <f t="shared" si="25"/>
        <v>0</v>
      </c>
      <c r="L68" s="643">
        <f t="shared" si="25"/>
        <v>0</v>
      </c>
      <c r="M68" s="635">
        <f t="shared" si="25"/>
        <v>0</v>
      </c>
      <c r="N68" s="635">
        <f t="shared" si="25"/>
        <v>0</v>
      </c>
      <c r="O68" s="635">
        <f t="shared" si="25"/>
        <v>0</v>
      </c>
      <c r="P68" s="635">
        <f t="shared" si="25"/>
        <v>0</v>
      </c>
      <c r="Q68" s="635">
        <f t="shared" si="25"/>
        <v>0</v>
      </c>
    </row>
    <row r="69" spans="1:17">
      <c r="A69" s="919"/>
      <c r="B69" s="175"/>
      <c r="C69" s="1566">
        <f>SUM(C63:C68)</f>
        <v>0</v>
      </c>
      <c r="D69" s="1566">
        <f t="shared" ref="D69:Q69" si="26">SUM(D63:D68)</f>
        <v>0</v>
      </c>
      <c r="E69" s="1566">
        <f t="shared" si="26"/>
        <v>0</v>
      </c>
      <c r="F69" s="1566">
        <f t="shared" si="26"/>
        <v>0</v>
      </c>
      <c r="G69" s="1566">
        <f t="shared" si="26"/>
        <v>0</v>
      </c>
      <c r="H69" s="1566">
        <f t="shared" si="26"/>
        <v>0</v>
      </c>
      <c r="I69" s="1566">
        <f t="shared" si="26"/>
        <v>0</v>
      </c>
      <c r="J69" s="1566">
        <f t="shared" si="26"/>
        <v>0</v>
      </c>
      <c r="K69" s="1566">
        <f t="shared" si="26"/>
        <v>0</v>
      </c>
      <c r="L69" s="1584">
        <f t="shared" si="26"/>
        <v>0</v>
      </c>
      <c r="M69" s="175">
        <f t="shared" si="26"/>
        <v>0</v>
      </c>
      <c r="N69" s="175">
        <f t="shared" si="26"/>
        <v>0</v>
      </c>
      <c r="O69" s="175">
        <f t="shared" si="26"/>
        <v>0</v>
      </c>
      <c r="P69" s="175">
        <f t="shared" si="26"/>
        <v>0</v>
      </c>
      <c r="Q69" s="175">
        <f t="shared" si="26"/>
        <v>0</v>
      </c>
    </row>
    <row r="70" spans="1:17">
      <c r="A70" s="919"/>
      <c r="B70" s="175"/>
      <c r="C70" s="176"/>
      <c r="L70" s="140"/>
    </row>
    <row r="71" spans="1:17">
      <c r="A71" s="919"/>
      <c r="B71" s="181" t="s">
        <v>450</v>
      </c>
      <c r="C71" s="176"/>
      <c r="L71" s="140"/>
    </row>
    <row r="72" spans="1:17" hidden="1">
      <c r="A72" s="919">
        <v>6510</v>
      </c>
      <c r="B72" s="186" t="s">
        <v>451</v>
      </c>
      <c r="C72" s="632">
        <f>'Income &amp; OpEx'!M78</f>
        <v>0</v>
      </c>
      <c r="D72" s="500">
        <f>+C72*$K$120</f>
        <v>0</v>
      </c>
      <c r="E72" s="500">
        <f t="shared" ref="E72:Q72" si="27">+D72*$K$120</f>
        <v>0</v>
      </c>
      <c r="F72" s="500">
        <f t="shared" si="27"/>
        <v>0</v>
      </c>
      <c r="G72" s="500">
        <f t="shared" si="27"/>
        <v>0</v>
      </c>
      <c r="H72" s="500">
        <f t="shared" si="27"/>
        <v>0</v>
      </c>
      <c r="I72" s="500">
        <f t="shared" si="27"/>
        <v>0</v>
      </c>
      <c r="J72" s="500">
        <f t="shared" si="27"/>
        <v>0</v>
      </c>
      <c r="K72" s="500">
        <f t="shared" si="27"/>
        <v>0</v>
      </c>
      <c r="L72" s="563">
        <f t="shared" si="27"/>
        <v>0</v>
      </c>
      <c r="M72" s="485">
        <f t="shared" si="27"/>
        <v>0</v>
      </c>
      <c r="N72" s="485">
        <f t="shared" si="27"/>
        <v>0</v>
      </c>
      <c r="O72" s="485">
        <f t="shared" si="27"/>
        <v>0</v>
      </c>
      <c r="P72" s="485">
        <f t="shared" si="27"/>
        <v>0</v>
      </c>
      <c r="Q72" s="485">
        <f t="shared" si="27"/>
        <v>0</v>
      </c>
    </row>
    <row r="73" spans="1:17" hidden="1">
      <c r="A73" s="919"/>
      <c r="B73" s="186" t="s">
        <v>452</v>
      </c>
      <c r="C73" s="632">
        <f>'Income &amp; OpEx'!M79</f>
        <v>0</v>
      </c>
      <c r="D73" s="500">
        <f t="shared" ref="D73:Q88" si="28">+C73*$K$120</f>
        <v>0</v>
      </c>
      <c r="E73" s="500">
        <f t="shared" si="28"/>
        <v>0</v>
      </c>
      <c r="F73" s="500">
        <f t="shared" si="28"/>
        <v>0</v>
      </c>
      <c r="G73" s="500">
        <f t="shared" si="28"/>
        <v>0</v>
      </c>
      <c r="H73" s="500">
        <f t="shared" si="28"/>
        <v>0</v>
      </c>
      <c r="I73" s="500">
        <f t="shared" si="28"/>
        <v>0</v>
      </c>
      <c r="J73" s="500">
        <f t="shared" si="28"/>
        <v>0</v>
      </c>
      <c r="K73" s="500">
        <f t="shared" si="28"/>
        <v>0</v>
      </c>
      <c r="L73" s="563">
        <f t="shared" si="28"/>
        <v>0</v>
      </c>
      <c r="M73" s="485">
        <f t="shared" si="28"/>
        <v>0</v>
      </c>
      <c r="N73" s="485">
        <f t="shared" si="28"/>
        <v>0</v>
      </c>
      <c r="O73" s="485">
        <f t="shared" si="28"/>
        <v>0</v>
      </c>
      <c r="P73" s="485">
        <f t="shared" si="28"/>
        <v>0</v>
      </c>
      <c r="Q73" s="485">
        <f t="shared" si="28"/>
        <v>0</v>
      </c>
    </row>
    <row r="74" spans="1:17" hidden="1">
      <c r="A74" s="919">
        <v>6515</v>
      </c>
      <c r="B74" s="186" t="s">
        <v>453</v>
      </c>
      <c r="C74" s="632">
        <f>'Income &amp; OpEx'!M80</f>
        <v>0</v>
      </c>
      <c r="D74" s="500">
        <f t="shared" si="28"/>
        <v>0</v>
      </c>
      <c r="E74" s="500">
        <f t="shared" si="28"/>
        <v>0</v>
      </c>
      <c r="F74" s="500">
        <f t="shared" si="28"/>
        <v>0</v>
      </c>
      <c r="G74" s="500">
        <f t="shared" si="28"/>
        <v>0</v>
      </c>
      <c r="H74" s="500">
        <f t="shared" si="28"/>
        <v>0</v>
      </c>
      <c r="I74" s="500">
        <f t="shared" si="28"/>
        <v>0</v>
      </c>
      <c r="J74" s="500">
        <f t="shared" si="28"/>
        <v>0</v>
      </c>
      <c r="K74" s="500">
        <f t="shared" si="28"/>
        <v>0</v>
      </c>
      <c r="L74" s="563">
        <f t="shared" si="28"/>
        <v>0</v>
      </c>
      <c r="M74" s="485">
        <f t="shared" si="28"/>
        <v>0</v>
      </c>
      <c r="N74" s="485">
        <f t="shared" si="28"/>
        <v>0</v>
      </c>
      <c r="O74" s="485">
        <f t="shared" si="28"/>
        <v>0</v>
      </c>
      <c r="P74" s="485">
        <f t="shared" si="28"/>
        <v>0</v>
      </c>
      <c r="Q74" s="485">
        <f t="shared" si="28"/>
        <v>0</v>
      </c>
    </row>
    <row r="75" spans="1:17" hidden="1">
      <c r="A75" s="919">
        <v>6517</v>
      </c>
      <c r="B75" s="186" t="s">
        <v>454</v>
      </c>
      <c r="C75" s="632">
        <f>'Income &amp; OpEx'!M81</f>
        <v>0</v>
      </c>
      <c r="D75" s="500">
        <f t="shared" si="28"/>
        <v>0</v>
      </c>
      <c r="E75" s="500">
        <f t="shared" si="28"/>
        <v>0</v>
      </c>
      <c r="F75" s="500">
        <f t="shared" si="28"/>
        <v>0</v>
      </c>
      <c r="G75" s="500">
        <f t="shared" si="28"/>
        <v>0</v>
      </c>
      <c r="H75" s="500">
        <f t="shared" si="28"/>
        <v>0</v>
      </c>
      <c r="I75" s="500">
        <f t="shared" si="28"/>
        <v>0</v>
      </c>
      <c r="J75" s="500">
        <f t="shared" si="28"/>
        <v>0</v>
      </c>
      <c r="K75" s="500">
        <f t="shared" si="28"/>
        <v>0</v>
      </c>
      <c r="L75" s="563">
        <f t="shared" si="28"/>
        <v>0</v>
      </c>
      <c r="M75" s="485">
        <f t="shared" si="28"/>
        <v>0</v>
      </c>
      <c r="N75" s="485">
        <f t="shared" si="28"/>
        <v>0</v>
      </c>
      <c r="O75" s="485">
        <f t="shared" si="28"/>
        <v>0</v>
      </c>
      <c r="P75" s="485">
        <f t="shared" si="28"/>
        <v>0</v>
      </c>
      <c r="Q75" s="485">
        <f t="shared" si="28"/>
        <v>0</v>
      </c>
    </row>
    <row r="76" spans="1:17" hidden="1">
      <c r="A76" s="919">
        <v>6519</v>
      </c>
      <c r="B76" s="186" t="s">
        <v>455</v>
      </c>
      <c r="C76" s="632">
        <f>'Income &amp; OpEx'!M82</f>
        <v>0</v>
      </c>
      <c r="D76" s="500">
        <f t="shared" si="28"/>
        <v>0</v>
      </c>
      <c r="E76" s="500">
        <f t="shared" si="28"/>
        <v>0</v>
      </c>
      <c r="F76" s="500">
        <f t="shared" si="28"/>
        <v>0</v>
      </c>
      <c r="G76" s="500">
        <f t="shared" si="28"/>
        <v>0</v>
      </c>
      <c r="H76" s="500">
        <f t="shared" si="28"/>
        <v>0</v>
      </c>
      <c r="I76" s="500">
        <f t="shared" si="28"/>
        <v>0</v>
      </c>
      <c r="J76" s="500">
        <f t="shared" si="28"/>
        <v>0</v>
      </c>
      <c r="K76" s="500">
        <f t="shared" si="28"/>
        <v>0</v>
      </c>
      <c r="L76" s="563">
        <f t="shared" si="28"/>
        <v>0</v>
      </c>
      <c r="M76" s="485">
        <f t="shared" si="28"/>
        <v>0</v>
      </c>
      <c r="N76" s="485">
        <f t="shared" si="28"/>
        <v>0</v>
      </c>
      <c r="O76" s="485">
        <f t="shared" si="28"/>
        <v>0</v>
      </c>
      <c r="P76" s="485">
        <f t="shared" si="28"/>
        <v>0</v>
      </c>
      <c r="Q76" s="485">
        <f t="shared" si="28"/>
        <v>0</v>
      </c>
    </row>
    <row r="77" spans="1:17" hidden="1">
      <c r="A77" s="919">
        <v>6520</v>
      </c>
      <c r="B77" s="186" t="s">
        <v>456</v>
      </c>
      <c r="C77" s="632">
        <f>'Income &amp; OpEx'!M83</f>
        <v>0</v>
      </c>
      <c r="D77" s="500">
        <f t="shared" si="28"/>
        <v>0</v>
      </c>
      <c r="E77" s="500">
        <f t="shared" si="28"/>
        <v>0</v>
      </c>
      <c r="F77" s="500">
        <f t="shared" si="28"/>
        <v>0</v>
      </c>
      <c r="G77" s="500">
        <f t="shared" si="28"/>
        <v>0</v>
      </c>
      <c r="H77" s="500">
        <f t="shared" si="28"/>
        <v>0</v>
      </c>
      <c r="I77" s="500">
        <f t="shared" si="28"/>
        <v>0</v>
      </c>
      <c r="J77" s="500">
        <f t="shared" si="28"/>
        <v>0</v>
      </c>
      <c r="K77" s="500">
        <f t="shared" si="28"/>
        <v>0</v>
      </c>
      <c r="L77" s="563">
        <f t="shared" si="28"/>
        <v>0</v>
      </c>
      <c r="M77" s="485">
        <f t="shared" si="28"/>
        <v>0</v>
      </c>
      <c r="N77" s="485">
        <f t="shared" si="28"/>
        <v>0</v>
      </c>
      <c r="O77" s="485">
        <f t="shared" si="28"/>
        <v>0</v>
      </c>
      <c r="P77" s="485">
        <f t="shared" si="28"/>
        <v>0</v>
      </c>
      <c r="Q77" s="485">
        <f t="shared" si="28"/>
        <v>0</v>
      </c>
    </row>
    <row r="78" spans="1:17">
      <c r="A78" s="919">
        <v>6525</v>
      </c>
      <c r="B78" s="186" t="s">
        <v>457</v>
      </c>
      <c r="C78" s="632">
        <f>'Income &amp; OpEx'!M84</f>
        <v>0</v>
      </c>
      <c r="D78" s="500">
        <f t="shared" si="28"/>
        <v>0</v>
      </c>
      <c r="E78" s="500">
        <f t="shared" si="28"/>
        <v>0</v>
      </c>
      <c r="F78" s="500">
        <f t="shared" si="28"/>
        <v>0</v>
      </c>
      <c r="G78" s="500">
        <f t="shared" si="28"/>
        <v>0</v>
      </c>
      <c r="H78" s="500">
        <f t="shared" si="28"/>
        <v>0</v>
      </c>
      <c r="I78" s="500">
        <f t="shared" si="28"/>
        <v>0</v>
      </c>
      <c r="J78" s="500">
        <f t="shared" si="28"/>
        <v>0</v>
      </c>
      <c r="K78" s="500">
        <f t="shared" si="28"/>
        <v>0</v>
      </c>
      <c r="L78" s="563">
        <f t="shared" si="28"/>
        <v>0</v>
      </c>
      <c r="M78" s="485">
        <f t="shared" si="28"/>
        <v>0</v>
      </c>
      <c r="N78" s="485">
        <f t="shared" si="28"/>
        <v>0</v>
      </c>
      <c r="O78" s="485">
        <f t="shared" si="28"/>
        <v>0</v>
      </c>
      <c r="P78" s="485">
        <f t="shared" si="28"/>
        <v>0</v>
      </c>
      <c r="Q78" s="485">
        <f t="shared" si="28"/>
        <v>0</v>
      </c>
    </row>
    <row r="79" spans="1:17" hidden="1">
      <c r="A79" s="919">
        <v>6530</v>
      </c>
      <c r="B79" s="186" t="s">
        <v>458</v>
      </c>
      <c r="C79" s="632">
        <f>'Income &amp; OpEx'!M85</f>
        <v>0</v>
      </c>
      <c r="D79" s="500">
        <f t="shared" si="28"/>
        <v>0</v>
      </c>
      <c r="E79" s="500">
        <f t="shared" si="28"/>
        <v>0</v>
      </c>
      <c r="F79" s="500">
        <f t="shared" si="28"/>
        <v>0</v>
      </c>
      <c r="G79" s="500">
        <f t="shared" si="28"/>
        <v>0</v>
      </c>
      <c r="H79" s="500">
        <f t="shared" si="28"/>
        <v>0</v>
      </c>
      <c r="I79" s="500">
        <f t="shared" si="28"/>
        <v>0</v>
      </c>
      <c r="J79" s="500">
        <f t="shared" si="28"/>
        <v>0</v>
      </c>
      <c r="K79" s="500">
        <f t="shared" si="28"/>
        <v>0</v>
      </c>
      <c r="L79" s="563">
        <f t="shared" si="28"/>
        <v>0</v>
      </c>
      <c r="M79" s="485">
        <f t="shared" si="28"/>
        <v>0</v>
      </c>
      <c r="N79" s="485">
        <f t="shared" si="28"/>
        <v>0</v>
      </c>
      <c r="O79" s="485">
        <f t="shared" si="28"/>
        <v>0</v>
      </c>
      <c r="P79" s="485">
        <f t="shared" si="28"/>
        <v>0</v>
      </c>
      <c r="Q79" s="485">
        <f t="shared" si="28"/>
        <v>0</v>
      </c>
    </row>
    <row r="80" spans="1:17" hidden="1">
      <c r="A80" s="919">
        <v>6535</v>
      </c>
      <c r="B80" s="186" t="s">
        <v>459</v>
      </c>
      <c r="C80" s="632">
        <f>'Income &amp; OpEx'!M86</f>
        <v>0</v>
      </c>
      <c r="D80" s="500">
        <f t="shared" si="28"/>
        <v>0</v>
      </c>
      <c r="E80" s="500">
        <f t="shared" si="28"/>
        <v>0</v>
      </c>
      <c r="F80" s="500">
        <f t="shared" si="28"/>
        <v>0</v>
      </c>
      <c r="G80" s="500">
        <f t="shared" si="28"/>
        <v>0</v>
      </c>
      <c r="H80" s="500">
        <f t="shared" si="28"/>
        <v>0</v>
      </c>
      <c r="I80" s="500">
        <f t="shared" si="28"/>
        <v>0</v>
      </c>
      <c r="J80" s="500">
        <f t="shared" si="28"/>
        <v>0</v>
      </c>
      <c r="K80" s="500">
        <f t="shared" si="28"/>
        <v>0</v>
      </c>
      <c r="L80" s="563">
        <f t="shared" si="28"/>
        <v>0</v>
      </c>
      <c r="M80" s="485">
        <f t="shared" si="28"/>
        <v>0</v>
      </c>
      <c r="N80" s="485">
        <f t="shared" si="28"/>
        <v>0</v>
      </c>
      <c r="O80" s="485">
        <f t="shared" si="28"/>
        <v>0</v>
      </c>
      <c r="P80" s="485">
        <f t="shared" si="28"/>
        <v>0</v>
      </c>
      <c r="Q80" s="485">
        <f t="shared" si="28"/>
        <v>0</v>
      </c>
    </row>
    <row r="81" spans="1:17" hidden="1">
      <c r="A81" s="919">
        <v>6536</v>
      </c>
      <c r="B81" s="186" t="s">
        <v>460</v>
      </c>
      <c r="C81" s="632">
        <f>'Income &amp; OpEx'!M87</f>
        <v>0</v>
      </c>
      <c r="D81" s="500">
        <f t="shared" si="28"/>
        <v>0</v>
      </c>
      <c r="E81" s="500">
        <f t="shared" si="28"/>
        <v>0</v>
      </c>
      <c r="F81" s="500">
        <f t="shared" si="28"/>
        <v>0</v>
      </c>
      <c r="G81" s="500">
        <f t="shared" si="28"/>
        <v>0</v>
      </c>
      <c r="H81" s="500">
        <f t="shared" si="28"/>
        <v>0</v>
      </c>
      <c r="I81" s="500">
        <f t="shared" si="28"/>
        <v>0</v>
      </c>
      <c r="J81" s="500">
        <f t="shared" si="28"/>
        <v>0</v>
      </c>
      <c r="K81" s="500">
        <f t="shared" si="28"/>
        <v>0</v>
      </c>
      <c r="L81" s="563">
        <f t="shared" si="28"/>
        <v>0</v>
      </c>
      <c r="M81" s="485">
        <f t="shared" si="28"/>
        <v>0</v>
      </c>
      <c r="N81" s="485">
        <f t="shared" si="28"/>
        <v>0</v>
      </c>
      <c r="O81" s="485">
        <f t="shared" si="28"/>
        <v>0</v>
      </c>
      <c r="P81" s="485">
        <f t="shared" si="28"/>
        <v>0</v>
      </c>
      <c r="Q81" s="485">
        <f t="shared" si="28"/>
        <v>0</v>
      </c>
    </row>
    <row r="82" spans="1:17" hidden="1">
      <c r="A82" s="919">
        <v>6537</v>
      </c>
      <c r="B82" s="186" t="s">
        <v>461</v>
      </c>
      <c r="C82" s="632">
        <f>'Income &amp; OpEx'!M88</f>
        <v>0</v>
      </c>
      <c r="D82" s="500">
        <f t="shared" si="28"/>
        <v>0</v>
      </c>
      <c r="E82" s="500">
        <f t="shared" si="28"/>
        <v>0</v>
      </c>
      <c r="F82" s="500">
        <f t="shared" si="28"/>
        <v>0</v>
      </c>
      <c r="G82" s="500">
        <f t="shared" si="28"/>
        <v>0</v>
      </c>
      <c r="H82" s="500">
        <f t="shared" si="28"/>
        <v>0</v>
      </c>
      <c r="I82" s="500">
        <f t="shared" si="28"/>
        <v>0</v>
      </c>
      <c r="J82" s="500">
        <f t="shared" si="28"/>
        <v>0</v>
      </c>
      <c r="K82" s="500">
        <f t="shared" si="28"/>
        <v>0</v>
      </c>
      <c r="L82" s="563">
        <f t="shared" si="28"/>
        <v>0</v>
      </c>
      <c r="M82" s="485">
        <f t="shared" si="28"/>
        <v>0</v>
      </c>
      <c r="N82" s="485">
        <f t="shared" si="28"/>
        <v>0</v>
      </c>
      <c r="O82" s="485">
        <f t="shared" si="28"/>
        <v>0</v>
      </c>
      <c r="P82" s="485">
        <f t="shared" si="28"/>
        <v>0</v>
      </c>
      <c r="Q82" s="485">
        <f t="shared" si="28"/>
        <v>0</v>
      </c>
    </row>
    <row r="83" spans="1:17">
      <c r="A83" s="919">
        <v>6540</v>
      </c>
      <c r="B83" s="186" t="s">
        <v>462</v>
      </c>
      <c r="C83" s="632">
        <f>'Income &amp; OpEx'!M89</f>
        <v>30000</v>
      </c>
      <c r="D83" s="500">
        <f t="shared" si="28"/>
        <v>30900</v>
      </c>
      <c r="E83" s="500">
        <f t="shared" si="28"/>
        <v>31827</v>
      </c>
      <c r="F83" s="500">
        <f t="shared" si="28"/>
        <v>32781.81</v>
      </c>
      <c r="G83" s="500">
        <f t="shared" si="28"/>
        <v>33765.264299999995</v>
      </c>
      <c r="H83" s="500">
        <f t="shared" si="28"/>
        <v>34778.222228999999</v>
      </c>
      <c r="I83" s="500">
        <f t="shared" si="28"/>
        <v>35821.568895869998</v>
      </c>
      <c r="J83" s="500">
        <f t="shared" si="28"/>
        <v>36896.215962746101</v>
      </c>
      <c r="K83" s="500">
        <f t="shared" si="28"/>
        <v>38003.102441628485</v>
      </c>
      <c r="L83" s="563">
        <f t="shared" si="28"/>
        <v>39143.195514877341</v>
      </c>
      <c r="M83" s="485">
        <f t="shared" si="28"/>
        <v>40317.491380323663</v>
      </c>
      <c r="N83" s="485">
        <f t="shared" si="28"/>
        <v>41527.016121733373</v>
      </c>
      <c r="O83" s="485">
        <f t="shared" si="28"/>
        <v>42772.826605385373</v>
      </c>
      <c r="P83" s="485">
        <f t="shared" si="28"/>
        <v>44056.011403546938</v>
      </c>
      <c r="Q83" s="485">
        <f t="shared" si="28"/>
        <v>45377.691745653348</v>
      </c>
    </row>
    <row r="84" spans="1:17">
      <c r="A84" s="919">
        <v>6541</v>
      </c>
      <c r="B84" s="186" t="s">
        <v>463</v>
      </c>
      <c r="C84" s="632">
        <f>'Income &amp; OpEx'!M90</f>
        <v>0</v>
      </c>
      <c r="D84" s="500">
        <f t="shared" si="28"/>
        <v>0</v>
      </c>
      <c r="E84" s="500">
        <f t="shared" si="28"/>
        <v>0</v>
      </c>
      <c r="F84" s="500">
        <f t="shared" si="28"/>
        <v>0</v>
      </c>
      <c r="G84" s="500">
        <f t="shared" si="28"/>
        <v>0</v>
      </c>
      <c r="H84" s="500">
        <f t="shared" si="28"/>
        <v>0</v>
      </c>
      <c r="I84" s="500">
        <f t="shared" si="28"/>
        <v>0</v>
      </c>
      <c r="J84" s="500">
        <f t="shared" si="28"/>
        <v>0</v>
      </c>
      <c r="K84" s="500">
        <f t="shared" si="28"/>
        <v>0</v>
      </c>
      <c r="L84" s="563">
        <f t="shared" si="28"/>
        <v>0</v>
      </c>
      <c r="M84" s="485">
        <f t="shared" si="28"/>
        <v>0</v>
      </c>
      <c r="N84" s="485">
        <f t="shared" si="28"/>
        <v>0</v>
      </c>
      <c r="O84" s="485">
        <f t="shared" si="28"/>
        <v>0</v>
      </c>
      <c r="P84" s="485">
        <f t="shared" si="28"/>
        <v>0</v>
      </c>
      <c r="Q84" s="485">
        <f t="shared" si="28"/>
        <v>0</v>
      </c>
    </row>
    <row r="85" spans="1:17">
      <c r="A85" s="919">
        <v>6542</v>
      </c>
      <c r="B85" s="186" t="s">
        <v>464</v>
      </c>
      <c r="C85" s="632">
        <f>'Income &amp; OpEx'!M91</f>
        <v>0</v>
      </c>
      <c r="D85" s="500">
        <f t="shared" si="28"/>
        <v>0</v>
      </c>
      <c r="E85" s="500">
        <f t="shared" si="28"/>
        <v>0</v>
      </c>
      <c r="F85" s="500">
        <f t="shared" si="28"/>
        <v>0</v>
      </c>
      <c r="G85" s="500">
        <f t="shared" si="28"/>
        <v>0</v>
      </c>
      <c r="H85" s="500">
        <f t="shared" si="28"/>
        <v>0</v>
      </c>
      <c r="I85" s="500">
        <f t="shared" si="28"/>
        <v>0</v>
      </c>
      <c r="J85" s="500">
        <f t="shared" si="28"/>
        <v>0</v>
      </c>
      <c r="K85" s="500">
        <f t="shared" si="28"/>
        <v>0</v>
      </c>
      <c r="L85" s="563">
        <f t="shared" si="28"/>
        <v>0</v>
      </c>
      <c r="M85" s="485">
        <f t="shared" si="28"/>
        <v>0</v>
      </c>
      <c r="N85" s="485">
        <f t="shared" si="28"/>
        <v>0</v>
      </c>
      <c r="O85" s="485">
        <f t="shared" si="28"/>
        <v>0</v>
      </c>
      <c r="P85" s="485">
        <f t="shared" si="28"/>
        <v>0</v>
      </c>
      <c r="Q85" s="485">
        <f t="shared" si="28"/>
        <v>0</v>
      </c>
    </row>
    <row r="86" spans="1:17" hidden="1">
      <c r="A86" s="919">
        <v>6543</v>
      </c>
      <c r="B86" s="186" t="s">
        <v>465</v>
      </c>
      <c r="C86" s="632">
        <f>'Income &amp; OpEx'!M92</f>
        <v>0</v>
      </c>
      <c r="D86" s="500">
        <f t="shared" si="28"/>
        <v>0</v>
      </c>
      <c r="E86" s="500">
        <f t="shared" si="28"/>
        <v>0</v>
      </c>
      <c r="F86" s="500">
        <f t="shared" si="28"/>
        <v>0</v>
      </c>
      <c r="G86" s="500">
        <f t="shared" si="28"/>
        <v>0</v>
      </c>
      <c r="H86" s="500">
        <f t="shared" si="28"/>
        <v>0</v>
      </c>
      <c r="I86" s="500">
        <f t="shared" si="28"/>
        <v>0</v>
      </c>
      <c r="J86" s="500">
        <f t="shared" si="28"/>
        <v>0</v>
      </c>
      <c r="K86" s="500">
        <f t="shared" si="28"/>
        <v>0</v>
      </c>
      <c r="L86" s="563">
        <f t="shared" si="28"/>
        <v>0</v>
      </c>
      <c r="M86" s="485">
        <f t="shared" si="28"/>
        <v>0</v>
      </c>
      <c r="N86" s="485">
        <f t="shared" si="28"/>
        <v>0</v>
      </c>
      <c r="O86" s="485">
        <f t="shared" si="28"/>
        <v>0</v>
      </c>
      <c r="P86" s="485">
        <f t="shared" si="28"/>
        <v>0</v>
      </c>
      <c r="Q86" s="485">
        <f t="shared" si="28"/>
        <v>0</v>
      </c>
    </row>
    <row r="87" spans="1:17" hidden="1">
      <c r="A87" s="919">
        <v>6545</v>
      </c>
      <c r="B87" s="186" t="s">
        <v>466</v>
      </c>
      <c r="C87" s="632">
        <f>'Income &amp; OpEx'!M93</f>
        <v>0</v>
      </c>
      <c r="D87" s="500">
        <f t="shared" si="28"/>
        <v>0</v>
      </c>
      <c r="E87" s="500">
        <f t="shared" si="28"/>
        <v>0</v>
      </c>
      <c r="F87" s="500">
        <f t="shared" si="28"/>
        <v>0</v>
      </c>
      <c r="G87" s="500">
        <f t="shared" si="28"/>
        <v>0</v>
      </c>
      <c r="H87" s="500">
        <f t="shared" si="28"/>
        <v>0</v>
      </c>
      <c r="I87" s="500">
        <f t="shared" si="28"/>
        <v>0</v>
      </c>
      <c r="J87" s="500">
        <f t="shared" si="28"/>
        <v>0</v>
      </c>
      <c r="K87" s="500">
        <f t="shared" si="28"/>
        <v>0</v>
      </c>
      <c r="L87" s="563">
        <f t="shared" si="28"/>
        <v>0</v>
      </c>
      <c r="M87" s="485">
        <f t="shared" si="28"/>
        <v>0</v>
      </c>
      <c r="N87" s="485">
        <f t="shared" si="28"/>
        <v>0</v>
      </c>
      <c r="O87" s="485">
        <f t="shared" si="28"/>
        <v>0</v>
      </c>
      <c r="P87" s="485">
        <f t="shared" si="28"/>
        <v>0</v>
      </c>
      <c r="Q87" s="485">
        <f t="shared" si="28"/>
        <v>0</v>
      </c>
    </row>
    <row r="88" spans="1:17">
      <c r="A88" s="919">
        <v>6546</v>
      </c>
      <c r="B88" s="186" t="s">
        <v>467</v>
      </c>
      <c r="C88" s="632">
        <f>'Income &amp; OpEx'!M94</f>
        <v>0</v>
      </c>
      <c r="D88" s="500">
        <f t="shared" si="28"/>
        <v>0</v>
      </c>
      <c r="E88" s="500">
        <f t="shared" si="28"/>
        <v>0</v>
      </c>
      <c r="F88" s="500">
        <f t="shared" si="28"/>
        <v>0</v>
      </c>
      <c r="G88" s="500">
        <f t="shared" si="28"/>
        <v>0</v>
      </c>
      <c r="H88" s="500">
        <f t="shared" si="28"/>
        <v>0</v>
      </c>
      <c r="I88" s="500">
        <f t="shared" si="28"/>
        <v>0</v>
      </c>
      <c r="J88" s="500">
        <f t="shared" si="28"/>
        <v>0</v>
      </c>
      <c r="K88" s="500">
        <f t="shared" si="28"/>
        <v>0</v>
      </c>
      <c r="L88" s="563">
        <f t="shared" si="28"/>
        <v>0</v>
      </c>
      <c r="M88" s="485">
        <f t="shared" si="28"/>
        <v>0</v>
      </c>
      <c r="N88" s="485">
        <f t="shared" si="28"/>
        <v>0</v>
      </c>
      <c r="O88" s="485">
        <f t="shared" si="28"/>
        <v>0</v>
      </c>
      <c r="P88" s="485">
        <f t="shared" si="28"/>
        <v>0</v>
      </c>
      <c r="Q88" s="485">
        <f t="shared" si="28"/>
        <v>0</v>
      </c>
    </row>
    <row r="89" spans="1:17" hidden="1">
      <c r="A89" s="919">
        <v>6547</v>
      </c>
      <c r="B89" s="186" t="s">
        <v>468</v>
      </c>
      <c r="C89" s="632">
        <f>'Income &amp; OpEx'!M95</f>
        <v>0</v>
      </c>
      <c r="D89" s="500">
        <f t="shared" ref="D89:Q94" si="29">+C89*$K$120</f>
        <v>0</v>
      </c>
      <c r="E89" s="500">
        <f t="shared" si="29"/>
        <v>0</v>
      </c>
      <c r="F89" s="500">
        <f t="shared" si="29"/>
        <v>0</v>
      </c>
      <c r="G89" s="500">
        <f t="shared" si="29"/>
        <v>0</v>
      </c>
      <c r="H89" s="500">
        <f t="shared" si="29"/>
        <v>0</v>
      </c>
      <c r="I89" s="500">
        <f t="shared" si="29"/>
        <v>0</v>
      </c>
      <c r="J89" s="500">
        <f t="shared" si="29"/>
        <v>0</v>
      </c>
      <c r="K89" s="500">
        <f t="shared" si="29"/>
        <v>0</v>
      </c>
      <c r="L89" s="563">
        <f t="shared" si="29"/>
        <v>0</v>
      </c>
      <c r="M89" s="485">
        <f t="shared" si="29"/>
        <v>0</v>
      </c>
      <c r="N89" s="485">
        <f t="shared" si="29"/>
        <v>0</v>
      </c>
      <c r="O89" s="485">
        <f t="shared" si="29"/>
        <v>0</v>
      </c>
      <c r="P89" s="485">
        <f t="shared" si="29"/>
        <v>0</v>
      </c>
      <c r="Q89" s="485">
        <f t="shared" si="29"/>
        <v>0</v>
      </c>
    </row>
    <row r="90" spans="1:17" hidden="1">
      <c r="A90" s="919">
        <v>6548</v>
      </c>
      <c r="B90" s="186" t="s">
        <v>469</v>
      </c>
      <c r="C90" s="632">
        <f>'Income &amp; OpEx'!M96</f>
        <v>0</v>
      </c>
      <c r="D90" s="500">
        <f t="shared" si="29"/>
        <v>0</v>
      </c>
      <c r="E90" s="500">
        <f t="shared" si="29"/>
        <v>0</v>
      </c>
      <c r="F90" s="500">
        <f t="shared" si="29"/>
        <v>0</v>
      </c>
      <c r="G90" s="500">
        <f t="shared" si="29"/>
        <v>0</v>
      </c>
      <c r="H90" s="500">
        <f t="shared" si="29"/>
        <v>0</v>
      </c>
      <c r="I90" s="500">
        <f t="shared" si="29"/>
        <v>0</v>
      </c>
      <c r="J90" s="500">
        <f t="shared" si="29"/>
        <v>0</v>
      </c>
      <c r="K90" s="500">
        <f t="shared" si="29"/>
        <v>0</v>
      </c>
      <c r="L90" s="563">
        <f t="shared" si="29"/>
        <v>0</v>
      </c>
      <c r="M90" s="485">
        <f t="shared" si="29"/>
        <v>0</v>
      </c>
      <c r="N90" s="485">
        <f t="shared" si="29"/>
        <v>0</v>
      </c>
      <c r="O90" s="485">
        <f t="shared" si="29"/>
        <v>0</v>
      </c>
      <c r="P90" s="485">
        <f t="shared" si="29"/>
        <v>0</v>
      </c>
      <c r="Q90" s="485">
        <f t="shared" si="29"/>
        <v>0</v>
      </c>
    </row>
    <row r="91" spans="1:17" hidden="1">
      <c r="A91" s="919">
        <v>6560</v>
      </c>
      <c r="B91" s="186" t="s">
        <v>470</v>
      </c>
      <c r="C91" s="632">
        <f>'Income &amp; OpEx'!M97</f>
        <v>0</v>
      </c>
      <c r="D91" s="500">
        <f t="shared" si="29"/>
        <v>0</v>
      </c>
      <c r="E91" s="500">
        <f t="shared" si="29"/>
        <v>0</v>
      </c>
      <c r="F91" s="500">
        <f t="shared" si="29"/>
        <v>0</v>
      </c>
      <c r="G91" s="500">
        <f t="shared" si="29"/>
        <v>0</v>
      </c>
      <c r="H91" s="500">
        <f t="shared" si="29"/>
        <v>0</v>
      </c>
      <c r="I91" s="500">
        <f t="shared" si="29"/>
        <v>0</v>
      </c>
      <c r="J91" s="500">
        <f t="shared" si="29"/>
        <v>0</v>
      </c>
      <c r="K91" s="500">
        <f t="shared" si="29"/>
        <v>0</v>
      </c>
      <c r="L91" s="563">
        <f t="shared" si="29"/>
        <v>0</v>
      </c>
      <c r="M91" s="485">
        <f t="shared" si="29"/>
        <v>0</v>
      </c>
      <c r="N91" s="485">
        <f t="shared" si="29"/>
        <v>0</v>
      </c>
      <c r="O91" s="485">
        <f t="shared" si="29"/>
        <v>0</v>
      </c>
      <c r="P91" s="485">
        <f t="shared" si="29"/>
        <v>0</v>
      </c>
      <c r="Q91" s="485">
        <f t="shared" si="29"/>
        <v>0</v>
      </c>
    </row>
    <row r="92" spans="1:17">
      <c r="A92" s="919">
        <v>6561</v>
      </c>
      <c r="B92" s="186" t="s">
        <v>471</v>
      </c>
      <c r="C92" s="632">
        <f>'Income &amp; OpEx'!M98</f>
        <v>0</v>
      </c>
      <c r="D92" s="500">
        <f t="shared" si="29"/>
        <v>0</v>
      </c>
      <c r="E92" s="500">
        <f t="shared" si="29"/>
        <v>0</v>
      </c>
      <c r="F92" s="500">
        <f t="shared" si="29"/>
        <v>0</v>
      </c>
      <c r="G92" s="500">
        <f t="shared" si="29"/>
        <v>0</v>
      </c>
      <c r="H92" s="500">
        <f t="shared" si="29"/>
        <v>0</v>
      </c>
      <c r="I92" s="500">
        <f t="shared" si="29"/>
        <v>0</v>
      </c>
      <c r="J92" s="500">
        <f t="shared" si="29"/>
        <v>0</v>
      </c>
      <c r="K92" s="500">
        <f t="shared" si="29"/>
        <v>0</v>
      </c>
      <c r="L92" s="563">
        <f t="shared" si="29"/>
        <v>0</v>
      </c>
      <c r="M92" s="485">
        <f t="shared" si="29"/>
        <v>0</v>
      </c>
      <c r="N92" s="485">
        <f t="shared" si="29"/>
        <v>0</v>
      </c>
      <c r="O92" s="485">
        <f t="shared" si="29"/>
        <v>0</v>
      </c>
      <c r="P92" s="485">
        <f t="shared" si="29"/>
        <v>0</v>
      </c>
      <c r="Q92" s="485">
        <f t="shared" si="29"/>
        <v>0</v>
      </c>
    </row>
    <row r="93" spans="1:17">
      <c r="A93" s="919">
        <v>6570</v>
      </c>
      <c r="B93" s="186" t="s">
        <v>472</v>
      </c>
      <c r="C93" s="632">
        <f>'Income &amp; OpEx'!M99</f>
        <v>0</v>
      </c>
      <c r="D93" s="500">
        <f t="shared" si="29"/>
        <v>0</v>
      </c>
      <c r="E93" s="500">
        <f t="shared" si="29"/>
        <v>0</v>
      </c>
      <c r="F93" s="500">
        <f t="shared" si="29"/>
        <v>0</v>
      </c>
      <c r="G93" s="500">
        <f t="shared" si="29"/>
        <v>0</v>
      </c>
      <c r="H93" s="500">
        <f t="shared" si="29"/>
        <v>0</v>
      </c>
      <c r="I93" s="500">
        <f t="shared" si="29"/>
        <v>0</v>
      </c>
      <c r="J93" s="500">
        <f t="shared" si="29"/>
        <v>0</v>
      </c>
      <c r="K93" s="500">
        <f t="shared" si="29"/>
        <v>0</v>
      </c>
      <c r="L93" s="563">
        <f t="shared" si="29"/>
        <v>0</v>
      </c>
      <c r="M93" s="485">
        <f t="shared" si="29"/>
        <v>0</v>
      </c>
      <c r="N93" s="485">
        <f t="shared" si="29"/>
        <v>0</v>
      </c>
      <c r="O93" s="485">
        <f t="shared" si="29"/>
        <v>0</v>
      </c>
      <c r="P93" s="485">
        <f t="shared" si="29"/>
        <v>0</v>
      </c>
      <c r="Q93" s="485">
        <f t="shared" si="29"/>
        <v>0</v>
      </c>
    </row>
    <row r="94" spans="1:17" hidden="1">
      <c r="A94" s="919">
        <v>6590</v>
      </c>
      <c r="B94" s="186" t="s">
        <v>473</v>
      </c>
      <c r="C94" s="636">
        <f>'Income &amp; OpEx'!M100</f>
        <v>0</v>
      </c>
      <c r="D94" s="636">
        <f t="shared" si="29"/>
        <v>0</v>
      </c>
      <c r="E94" s="636">
        <f t="shared" si="29"/>
        <v>0</v>
      </c>
      <c r="F94" s="636">
        <f t="shared" si="29"/>
        <v>0</v>
      </c>
      <c r="G94" s="636">
        <f t="shared" si="29"/>
        <v>0</v>
      </c>
      <c r="H94" s="636">
        <f t="shared" si="29"/>
        <v>0</v>
      </c>
      <c r="I94" s="636">
        <f t="shared" si="29"/>
        <v>0</v>
      </c>
      <c r="J94" s="636">
        <f t="shared" si="29"/>
        <v>0</v>
      </c>
      <c r="K94" s="636">
        <f t="shared" si="29"/>
        <v>0</v>
      </c>
      <c r="L94" s="643">
        <f t="shared" si="29"/>
        <v>0</v>
      </c>
      <c r="M94" s="635">
        <f t="shared" si="29"/>
        <v>0</v>
      </c>
      <c r="N94" s="635">
        <f t="shared" si="29"/>
        <v>0</v>
      </c>
      <c r="O94" s="635">
        <f t="shared" si="29"/>
        <v>0</v>
      </c>
      <c r="P94" s="635">
        <f t="shared" si="29"/>
        <v>0</v>
      </c>
      <c r="Q94" s="635">
        <f t="shared" si="29"/>
        <v>0</v>
      </c>
    </row>
    <row r="95" spans="1:17">
      <c r="A95" s="919"/>
      <c r="B95" s="175"/>
      <c r="C95" s="1566">
        <f>SUM(C72:C94)</f>
        <v>30000</v>
      </c>
      <c r="D95" s="1566">
        <f t="shared" ref="D95:Q95" si="30">SUM(D72:D94)</f>
        <v>30900</v>
      </c>
      <c r="E95" s="1566">
        <f t="shared" si="30"/>
        <v>31827</v>
      </c>
      <c r="F95" s="1566">
        <f t="shared" si="30"/>
        <v>32781.81</v>
      </c>
      <c r="G95" s="1566">
        <f t="shared" si="30"/>
        <v>33765.264299999995</v>
      </c>
      <c r="H95" s="1566">
        <f t="shared" si="30"/>
        <v>34778.222228999999</v>
      </c>
      <c r="I95" s="1566">
        <f t="shared" si="30"/>
        <v>35821.568895869998</v>
      </c>
      <c r="J95" s="1566">
        <f t="shared" si="30"/>
        <v>36896.215962746101</v>
      </c>
      <c r="K95" s="1566">
        <f t="shared" si="30"/>
        <v>38003.102441628485</v>
      </c>
      <c r="L95" s="1584">
        <f t="shared" si="30"/>
        <v>39143.195514877341</v>
      </c>
      <c r="M95" s="567">
        <f t="shared" si="30"/>
        <v>40317.491380323663</v>
      </c>
      <c r="N95" s="567">
        <f t="shared" si="30"/>
        <v>41527.016121733373</v>
      </c>
      <c r="O95" s="567">
        <f t="shared" si="30"/>
        <v>42772.826605385373</v>
      </c>
      <c r="P95" s="567">
        <f t="shared" si="30"/>
        <v>44056.011403546938</v>
      </c>
      <c r="Q95" s="567">
        <f t="shared" si="30"/>
        <v>45377.691745653348</v>
      </c>
    </row>
    <row r="96" spans="1:17">
      <c r="A96" s="919"/>
      <c r="B96" s="175"/>
      <c r="C96" s="176"/>
      <c r="L96" s="140"/>
    </row>
    <row r="97" spans="1:17">
      <c r="A97" s="919"/>
      <c r="B97" s="175"/>
      <c r="C97" s="176"/>
      <c r="L97" s="140"/>
    </row>
    <row r="98" spans="1:17">
      <c r="A98" s="919"/>
      <c r="B98" s="181" t="s">
        <v>474</v>
      </c>
      <c r="C98" s="176"/>
      <c r="L98" s="140"/>
    </row>
    <row r="99" spans="1:17">
      <c r="A99" s="919">
        <v>6710</v>
      </c>
      <c r="B99" s="186" t="s">
        <v>475</v>
      </c>
      <c r="C99" s="632">
        <f>'Income &amp; OpEx'!M105</f>
        <v>0</v>
      </c>
      <c r="D99" s="500">
        <f>+C99*$K$120</f>
        <v>0</v>
      </c>
      <c r="E99" s="500">
        <f t="shared" ref="E99:Q99" si="31">+D99*$K$120</f>
        <v>0</v>
      </c>
      <c r="F99" s="500">
        <f t="shared" si="31"/>
        <v>0</v>
      </c>
      <c r="G99" s="500">
        <f t="shared" si="31"/>
        <v>0</v>
      </c>
      <c r="H99" s="500">
        <f t="shared" si="31"/>
        <v>0</v>
      </c>
      <c r="I99" s="500">
        <f t="shared" si="31"/>
        <v>0</v>
      </c>
      <c r="J99" s="500">
        <f t="shared" si="31"/>
        <v>0</v>
      </c>
      <c r="K99" s="500">
        <f t="shared" si="31"/>
        <v>0</v>
      </c>
      <c r="L99" s="563">
        <f t="shared" si="31"/>
        <v>0</v>
      </c>
      <c r="M99" s="485">
        <f t="shared" si="31"/>
        <v>0</v>
      </c>
      <c r="N99" s="485">
        <f t="shared" si="31"/>
        <v>0</v>
      </c>
      <c r="O99" s="485">
        <f t="shared" si="31"/>
        <v>0</v>
      </c>
      <c r="P99" s="485">
        <f t="shared" si="31"/>
        <v>0</v>
      </c>
      <c r="Q99" s="485">
        <f t="shared" si="31"/>
        <v>0</v>
      </c>
    </row>
    <row r="100" spans="1:17">
      <c r="A100" s="919">
        <v>6711</v>
      </c>
      <c r="B100" s="186" t="s">
        <v>476</v>
      </c>
      <c r="C100" s="632">
        <f>'Income &amp; OpEx'!M106</f>
        <v>2295</v>
      </c>
      <c r="D100" s="500">
        <f t="shared" ref="D100:Q106" si="32">+C100*$K$120</f>
        <v>2363.85</v>
      </c>
      <c r="E100" s="500">
        <f t="shared" si="32"/>
        <v>2434.7655</v>
      </c>
      <c r="F100" s="500">
        <f t="shared" si="32"/>
        <v>2507.8084650000001</v>
      </c>
      <c r="G100" s="500">
        <f t="shared" si="32"/>
        <v>2583.0427189500001</v>
      </c>
      <c r="H100" s="500">
        <f t="shared" si="32"/>
        <v>2660.5340005185003</v>
      </c>
      <c r="I100" s="500">
        <f t="shared" si="32"/>
        <v>2740.3500205340556</v>
      </c>
      <c r="J100" s="500">
        <f t="shared" si="32"/>
        <v>2822.5605211500774</v>
      </c>
      <c r="K100" s="500">
        <f t="shared" si="32"/>
        <v>2907.2373367845798</v>
      </c>
      <c r="L100" s="563">
        <f t="shared" si="32"/>
        <v>2994.4544568881174</v>
      </c>
      <c r="M100" s="485">
        <f t="shared" si="32"/>
        <v>3084.2880905947609</v>
      </c>
      <c r="N100" s="485">
        <f t="shared" si="32"/>
        <v>3176.8167333126039</v>
      </c>
      <c r="O100" s="485">
        <f t="shared" si="32"/>
        <v>3272.1212353119822</v>
      </c>
      <c r="P100" s="485">
        <f t="shared" si="32"/>
        <v>3370.2848723713419</v>
      </c>
      <c r="Q100" s="485">
        <f t="shared" si="32"/>
        <v>3471.3934185424823</v>
      </c>
    </row>
    <row r="101" spans="1:17">
      <c r="A101" s="919">
        <v>6719</v>
      </c>
      <c r="B101" s="186" t="s">
        <v>477</v>
      </c>
      <c r="C101" s="632">
        <f>'Income &amp; OpEx'!M107</f>
        <v>0</v>
      </c>
      <c r="D101" s="500">
        <f t="shared" si="32"/>
        <v>0</v>
      </c>
      <c r="E101" s="500">
        <f t="shared" si="32"/>
        <v>0</v>
      </c>
      <c r="F101" s="500">
        <f t="shared" si="32"/>
        <v>0</v>
      </c>
      <c r="G101" s="500">
        <f t="shared" si="32"/>
        <v>0</v>
      </c>
      <c r="H101" s="500">
        <f t="shared" si="32"/>
        <v>0</v>
      </c>
      <c r="I101" s="500">
        <f t="shared" si="32"/>
        <v>0</v>
      </c>
      <c r="J101" s="500">
        <f t="shared" si="32"/>
        <v>0</v>
      </c>
      <c r="K101" s="500">
        <f t="shared" si="32"/>
        <v>0</v>
      </c>
      <c r="L101" s="563">
        <f t="shared" si="32"/>
        <v>0</v>
      </c>
      <c r="M101" s="485">
        <f t="shared" si="32"/>
        <v>0</v>
      </c>
      <c r="N101" s="485">
        <f t="shared" si="32"/>
        <v>0</v>
      </c>
      <c r="O101" s="485">
        <f t="shared" si="32"/>
        <v>0</v>
      </c>
      <c r="P101" s="485">
        <f t="shared" si="32"/>
        <v>0</v>
      </c>
      <c r="Q101" s="485">
        <f t="shared" si="32"/>
        <v>0</v>
      </c>
    </row>
    <row r="102" spans="1:17">
      <c r="A102" s="919">
        <v>6720</v>
      </c>
      <c r="B102" s="186" t="s">
        <v>478</v>
      </c>
      <c r="C102" s="632">
        <f>'Income &amp; OpEx'!M108</f>
        <v>0</v>
      </c>
      <c r="D102" s="500">
        <f t="shared" si="32"/>
        <v>0</v>
      </c>
      <c r="E102" s="500">
        <f t="shared" si="32"/>
        <v>0</v>
      </c>
      <c r="F102" s="500">
        <f t="shared" si="32"/>
        <v>0</v>
      </c>
      <c r="G102" s="500">
        <f t="shared" si="32"/>
        <v>0</v>
      </c>
      <c r="H102" s="500">
        <f t="shared" si="32"/>
        <v>0</v>
      </c>
      <c r="I102" s="500">
        <f t="shared" si="32"/>
        <v>0</v>
      </c>
      <c r="J102" s="500">
        <f t="shared" si="32"/>
        <v>0</v>
      </c>
      <c r="K102" s="500">
        <f t="shared" si="32"/>
        <v>0</v>
      </c>
      <c r="L102" s="563">
        <f t="shared" si="32"/>
        <v>0</v>
      </c>
      <c r="M102" s="485">
        <f t="shared" si="32"/>
        <v>0</v>
      </c>
      <c r="N102" s="485">
        <f t="shared" si="32"/>
        <v>0</v>
      </c>
      <c r="O102" s="485">
        <f t="shared" si="32"/>
        <v>0</v>
      </c>
      <c r="P102" s="485">
        <f t="shared" si="32"/>
        <v>0</v>
      </c>
      <c r="Q102" s="485">
        <f t="shared" si="32"/>
        <v>0</v>
      </c>
    </row>
    <row r="103" spans="1:17">
      <c r="A103" s="919">
        <v>6721</v>
      </c>
      <c r="B103" s="186" t="s">
        <v>479</v>
      </c>
      <c r="C103" s="632">
        <f>'Income &amp; OpEx'!M109</f>
        <v>0</v>
      </c>
      <c r="D103" s="500">
        <f t="shared" si="32"/>
        <v>0</v>
      </c>
      <c r="E103" s="500">
        <f t="shared" si="32"/>
        <v>0</v>
      </c>
      <c r="F103" s="500">
        <f t="shared" si="32"/>
        <v>0</v>
      </c>
      <c r="G103" s="500">
        <f t="shared" si="32"/>
        <v>0</v>
      </c>
      <c r="H103" s="500">
        <f t="shared" si="32"/>
        <v>0</v>
      </c>
      <c r="I103" s="500">
        <f t="shared" si="32"/>
        <v>0</v>
      </c>
      <c r="J103" s="500">
        <f t="shared" si="32"/>
        <v>0</v>
      </c>
      <c r="K103" s="500">
        <f t="shared" si="32"/>
        <v>0</v>
      </c>
      <c r="L103" s="563">
        <f t="shared" si="32"/>
        <v>0</v>
      </c>
      <c r="M103" s="485">
        <f t="shared" si="32"/>
        <v>0</v>
      </c>
      <c r="N103" s="485">
        <f t="shared" si="32"/>
        <v>0</v>
      </c>
      <c r="O103" s="485">
        <f t="shared" si="32"/>
        <v>0</v>
      </c>
      <c r="P103" s="485">
        <f t="shared" si="32"/>
        <v>0</v>
      </c>
      <c r="Q103" s="485">
        <f t="shared" si="32"/>
        <v>0</v>
      </c>
    </row>
    <row r="104" spans="1:17">
      <c r="A104" s="919">
        <v>6722</v>
      </c>
      <c r="B104" s="186" t="s">
        <v>480</v>
      </c>
      <c r="C104" s="632">
        <f>'Income &amp; OpEx'!M110</f>
        <v>1800</v>
      </c>
      <c r="D104" s="500">
        <f t="shared" si="32"/>
        <v>1854</v>
      </c>
      <c r="E104" s="500">
        <f t="shared" si="32"/>
        <v>1909.6200000000001</v>
      </c>
      <c r="F104" s="500">
        <f t="shared" si="32"/>
        <v>1966.9086000000002</v>
      </c>
      <c r="G104" s="500">
        <f t="shared" si="32"/>
        <v>2025.9158580000003</v>
      </c>
      <c r="H104" s="500">
        <f t="shared" si="32"/>
        <v>2086.6933337400005</v>
      </c>
      <c r="I104" s="500">
        <f t="shared" si="32"/>
        <v>2149.2941337522007</v>
      </c>
      <c r="J104" s="500">
        <f t="shared" si="32"/>
        <v>2213.7729577647669</v>
      </c>
      <c r="K104" s="500">
        <f t="shared" si="32"/>
        <v>2280.1861464977101</v>
      </c>
      <c r="L104" s="563">
        <f t="shared" si="32"/>
        <v>2348.5917308926414</v>
      </c>
      <c r="M104" s="485">
        <f t="shared" si="32"/>
        <v>2419.0494828194205</v>
      </c>
      <c r="N104" s="485">
        <f t="shared" si="32"/>
        <v>2491.620967304003</v>
      </c>
      <c r="O104" s="485">
        <f t="shared" si="32"/>
        <v>2566.369596323123</v>
      </c>
      <c r="P104" s="485">
        <f t="shared" si="32"/>
        <v>2643.360684212817</v>
      </c>
      <c r="Q104" s="485">
        <f t="shared" si="32"/>
        <v>2722.6615047392015</v>
      </c>
    </row>
    <row r="105" spans="1:17">
      <c r="A105" s="919">
        <v>6723</v>
      </c>
      <c r="B105" s="186" t="s">
        <v>481</v>
      </c>
      <c r="C105" s="632">
        <f>'Income &amp; OpEx'!M111</f>
        <v>0</v>
      </c>
      <c r="D105" s="500">
        <f t="shared" si="32"/>
        <v>0</v>
      </c>
      <c r="E105" s="500">
        <f t="shared" si="32"/>
        <v>0</v>
      </c>
      <c r="F105" s="500">
        <f t="shared" si="32"/>
        <v>0</v>
      </c>
      <c r="G105" s="500">
        <f t="shared" si="32"/>
        <v>0</v>
      </c>
      <c r="H105" s="500">
        <f t="shared" si="32"/>
        <v>0</v>
      </c>
      <c r="I105" s="500">
        <f t="shared" si="32"/>
        <v>0</v>
      </c>
      <c r="J105" s="500">
        <f t="shared" si="32"/>
        <v>0</v>
      </c>
      <c r="K105" s="500">
        <f t="shared" si="32"/>
        <v>0</v>
      </c>
      <c r="L105" s="563">
        <f t="shared" si="32"/>
        <v>0</v>
      </c>
      <c r="M105" s="485">
        <f t="shared" si="32"/>
        <v>0</v>
      </c>
      <c r="N105" s="485">
        <f t="shared" si="32"/>
        <v>0</v>
      </c>
      <c r="O105" s="485">
        <f t="shared" si="32"/>
        <v>0</v>
      </c>
      <c r="P105" s="485">
        <f t="shared" si="32"/>
        <v>0</v>
      </c>
      <c r="Q105" s="485">
        <f t="shared" si="32"/>
        <v>0</v>
      </c>
    </row>
    <row r="106" spans="1:17">
      <c r="A106" s="919">
        <v>6729</v>
      </c>
      <c r="B106" s="186" t="s">
        <v>482</v>
      </c>
      <c r="C106" s="635">
        <f>'Income &amp; OpEx'!M112</f>
        <v>0</v>
      </c>
      <c r="D106" s="635">
        <f t="shared" si="32"/>
        <v>0</v>
      </c>
      <c r="E106" s="635">
        <f t="shared" si="32"/>
        <v>0</v>
      </c>
      <c r="F106" s="635">
        <f t="shared" si="32"/>
        <v>0</v>
      </c>
      <c r="G106" s="635">
        <f t="shared" si="32"/>
        <v>0</v>
      </c>
      <c r="H106" s="635">
        <f t="shared" si="32"/>
        <v>0</v>
      </c>
      <c r="I106" s="635">
        <f t="shared" si="32"/>
        <v>0</v>
      </c>
      <c r="J106" s="635">
        <f t="shared" si="32"/>
        <v>0</v>
      </c>
      <c r="K106" s="635">
        <f t="shared" si="32"/>
        <v>0</v>
      </c>
      <c r="L106" s="646">
        <f t="shared" si="32"/>
        <v>0</v>
      </c>
      <c r="M106" s="635">
        <f t="shared" si="32"/>
        <v>0</v>
      </c>
      <c r="N106" s="635">
        <f t="shared" si="32"/>
        <v>0</v>
      </c>
      <c r="O106" s="635">
        <f t="shared" si="32"/>
        <v>0</v>
      </c>
      <c r="P106" s="635">
        <f t="shared" si="32"/>
        <v>0</v>
      </c>
      <c r="Q106" s="635">
        <f t="shared" si="32"/>
        <v>0</v>
      </c>
    </row>
    <row r="107" spans="1:17">
      <c r="A107" s="183"/>
      <c r="B107" s="175"/>
      <c r="C107" s="567">
        <f>SUM(C99:C106)</f>
        <v>4095</v>
      </c>
      <c r="D107" s="567">
        <f t="shared" ref="D107:Q107" si="33">SUM(D99:D106)</f>
        <v>4217.8500000000004</v>
      </c>
      <c r="E107" s="567">
        <f t="shared" si="33"/>
        <v>4344.3855000000003</v>
      </c>
      <c r="F107" s="567">
        <f t="shared" si="33"/>
        <v>4474.7170650000007</v>
      </c>
      <c r="G107" s="567">
        <f t="shared" si="33"/>
        <v>4608.9585769500009</v>
      </c>
      <c r="H107" s="567">
        <f t="shared" si="33"/>
        <v>4747.2273342585013</v>
      </c>
      <c r="I107" s="567">
        <f t="shared" si="33"/>
        <v>4889.6441542862558</v>
      </c>
      <c r="J107" s="567">
        <f t="shared" si="33"/>
        <v>5036.3334789148448</v>
      </c>
      <c r="K107" s="567">
        <f t="shared" si="33"/>
        <v>5187.4234832822895</v>
      </c>
      <c r="L107" s="644">
        <f t="shared" si="33"/>
        <v>5343.0461877807593</v>
      </c>
      <c r="M107" s="567">
        <f t="shared" si="33"/>
        <v>5503.337573414181</v>
      </c>
      <c r="N107" s="567">
        <f t="shared" si="33"/>
        <v>5668.4377006166069</v>
      </c>
      <c r="O107" s="567">
        <f t="shared" si="33"/>
        <v>5838.4908316351048</v>
      </c>
      <c r="P107" s="567">
        <f t="shared" si="33"/>
        <v>6013.6455565841588</v>
      </c>
      <c r="Q107" s="567">
        <f t="shared" si="33"/>
        <v>6194.0549232816838</v>
      </c>
    </row>
    <row r="108" spans="1:17">
      <c r="A108" s="183"/>
      <c r="B108" s="175"/>
      <c r="C108" s="176"/>
      <c r="L108" s="140"/>
    </row>
    <row r="109" spans="1:17">
      <c r="A109" s="183"/>
      <c r="B109" s="181" t="s">
        <v>483</v>
      </c>
      <c r="C109" s="566">
        <f>C107+C95+C69+C60</f>
        <v>34095</v>
      </c>
      <c r="D109" s="566">
        <f t="shared" ref="D109:Q109" si="34">D107+D95+D69+D60</f>
        <v>35117.85</v>
      </c>
      <c r="E109" s="566">
        <f t="shared" si="34"/>
        <v>36171.385500000004</v>
      </c>
      <c r="F109" s="566">
        <f t="shared" si="34"/>
        <v>37256.527065000002</v>
      </c>
      <c r="G109" s="566">
        <f t="shared" si="34"/>
        <v>38374.222876949992</v>
      </c>
      <c r="H109" s="566">
        <f t="shared" si="34"/>
        <v>39525.449563258502</v>
      </c>
      <c r="I109" s="566">
        <f t="shared" si="34"/>
        <v>40711.21305015625</v>
      </c>
      <c r="J109" s="566">
        <f t="shared" si="34"/>
        <v>41932.549441660944</v>
      </c>
      <c r="K109" s="566">
        <f t="shared" si="34"/>
        <v>43190.525924910777</v>
      </c>
      <c r="L109" s="647">
        <f t="shared" si="34"/>
        <v>44486.241702658102</v>
      </c>
      <c r="M109" s="566">
        <f t="shared" si="34"/>
        <v>45820.828953737844</v>
      </c>
      <c r="N109" s="566">
        <f t="shared" si="34"/>
        <v>47195.453822349984</v>
      </c>
      <c r="O109" s="566">
        <f t="shared" si="34"/>
        <v>48611.31743702048</v>
      </c>
      <c r="P109" s="566">
        <f t="shared" si="34"/>
        <v>50069.656960131098</v>
      </c>
      <c r="Q109" s="566">
        <f t="shared" si="34"/>
        <v>51571.746668935033</v>
      </c>
    </row>
    <row r="110" spans="1:17">
      <c r="A110" s="183"/>
      <c r="B110" s="175"/>
      <c r="C110" s="567"/>
      <c r="D110" s="485"/>
      <c r="E110" s="485"/>
      <c r="F110" s="485"/>
      <c r="G110" s="485"/>
      <c r="H110" s="485"/>
      <c r="I110" s="485"/>
      <c r="J110" s="485"/>
      <c r="K110" s="485"/>
      <c r="L110" s="555"/>
      <c r="M110" s="485"/>
      <c r="N110" s="485"/>
      <c r="O110" s="485"/>
      <c r="P110" s="485"/>
      <c r="Q110" s="485"/>
    </row>
    <row r="111" spans="1:17">
      <c r="A111" s="183"/>
      <c r="B111" s="637" t="s">
        <v>484</v>
      </c>
      <c r="C111" s="638">
        <f>+C37-C109</f>
        <v>-34095</v>
      </c>
      <c r="D111" s="638">
        <f t="shared" ref="D111:Q111" si="35">+D37-D109</f>
        <v>-35117.85</v>
      </c>
      <c r="E111" s="638">
        <f t="shared" si="35"/>
        <v>-36171.385500000004</v>
      </c>
      <c r="F111" s="638">
        <f t="shared" si="35"/>
        <v>-37256.527065000002</v>
      </c>
      <c r="G111" s="638">
        <f t="shared" si="35"/>
        <v>-38374.222876949992</v>
      </c>
      <c r="H111" s="638">
        <f t="shared" si="35"/>
        <v>-39525.449563258502</v>
      </c>
      <c r="I111" s="638">
        <f t="shared" si="35"/>
        <v>-40711.21305015625</v>
      </c>
      <c r="J111" s="638">
        <f t="shared" si="35"/>
        <v>-41932.549441660944</v>
      </c>
      <c r="K111" s="638">
        <f t="shared" si="35"/>
        <v>-43190.525924910777</v>
      </c>
      <c r="L111" s="649">
        <f t="shared" si="35"/>
        <v>-44486.241702658102</v>
      </c>
      <c r="M111" s="638">
        <f t="shared" si="35"/>
        <v>-45820.828953737844</v>
      </c>
      <c r="N111" s="638">
        <f t="shared" si="35"/>
        <v>-47195.453822349984</v>
      </c>
      <c r="O111" s="638">
        <f t="shared" si="35"/>
        <v>-48611.31743702048</v>
      </c>
      <c r="P111" s="638">
        <f t="shared" si="35"/>
        <v>-50069.656960131098</v>
      </c>
      <c r="Q111" s="638">
        <f t="shared" si="35"/>
        <v>-51571.746668935033</v>
      </c>
    </row>
    <row r="112" spans="1:17" ht="20.25">
      <c r="A112" s="183"/>
      <c r="B112" s="181"/>
      <c r="C112" s="634"/>
      <c r="D112" s="634"/>
      <c r="E112" s="634"/>
      <c r="F112" s="634"/>
      <c r="G112" s="634"/>
      <c r="H112" s="634"/>
      <c r="I112" s="634"/>
      <c r="J112" s="634"/>
      <c r="K112" s="634"/>
      <c r="L112" s="650"/>
      <c r="M112" s="634"/>
      <c r="N112" s="634"/>
      <c r="O112" s="634"/>
      <c r="P112" s="634"/>
      <c r="Q112" s="634"/>
    </row>
    <row r="113" spans="1:17">
      <c r="A113" s="183"/>
      <c r="B113" s="175" t="s">
        <v>485</v>
      </c>
      <c r="C113" s="567" t="e">
        <f>'Warehouse Debt'!H12+'Warehouse Debt'!I12</f>
        <v>#DIV/0!</v>
      </c>
      <c r="D113" s="567" t="e">
        <f>'Warehouse Debt'!H13+'Warehouse Debt'!I13</f>
        <v>#VALUE!</v>
      </c>
      <c r="E113" s="567" t="e">
        <f>'Warehouse Debt'!H14+'Warehouse Debt'!I14</f>
        <v>#VALUE!</v>
      </c>
      <c r="F113" s="567" t="e">
        <f>'Warehouse Debt'!H15+'Warehouse Debt'!I15</f>
        <v>#VALUE!</v>
      </c>
      <c r="G113" s="567" t="e">
        <f>'Warehouse Debt'!H16+'Warehouse Debt'!I16</f>
        <v>#VALUE!</v>
      </c>
      <c r="H113" s="567" t="e">
        <f>'Warehouse Debt'!H17+'Warehouse Debt'!I17</f>
        <v>#VALUE!</v>
      </c>
      <c r="I113" s="567" t="e">
        <f>'Warehouse Debt'!H18+'Warehouse Debt'!I18</f>
        <v>#VALUE!</v>
      </c>
      <c r="J113" s="567" t="e">
        <f>'Warehouse Debt'!H19+'Warehouse Debt'!I19</f>
        <v>#VALUE!</v>
      </c>
      <c r="K113" s="567" t="e">
        <f>'Warehouse Debt'!H20+'Warehouse Debt'!I20</f>
        <v>#VALUE!</v>
      </c>
      <c r="L113" s="644" t="e">
        <f>'Warehouse Debt'!H21+'Warehouse Debt'!I21</f>
        <v>#VALUE!</v>
      </c>
      <c r="M113" s="567" t="e">
        <f t="shared" ref="M113:Q113" si="36">L113</f>
        <v>#VALUE!</v>
      </c>
      <c r="N113" s="567" t="e">
        <f t="shared" si="36"/>
        <v>#VALUE!</v>
      </c>
      <c r="O113" s="567" t="e">
        <f t="shared" si="36"/>
        <v>#VALUE!</v>
      </c>
      <c r="P113" s="567" t="e">
        <f t="shared" si="36"/>
        <v>#VALUE!</v>
      </c>
      <c r="Q113" s="567" t="e">
        <f t="shared" si="36"/>
        <v>#VALUE!</v>
      </c>
    </row>
    <row r="114" spans="1:17" ht="20.25">
      <c r="A114" s="183"/>
      <c r="B114" s="181"/>
      <c r="C114" s="634"/>
      <c r="D114" s="634"/>
      <c r="E114" s="634"/>
      <c r="F114" s="634"/>
      <c r="G114" s="634"/>
      <c r="H114" s="634"/>
      <c r="I114" s="634"/>
      <c r="J114" s="634"/>
      <c r="K114" s="634"/>
      <c r="L114" s="650"/>
      <c r="M114" s="634"/>
      <c r="N114" s="634"/>
      <c r="O114" s="634"/>
      <c r="P114" s="634"/>
      <c r="Q114" s="634"/>
    </row>
    <row r="115" spans="1:17">
      <c r="A115" s="183"/>
      <c r="B115" s="175" t="s">
        <v>486</v>
      </c>
      <c r="C115" s="567">
        <f>'Income &amp; OpEx'!M234</f>
        <v>0</v>
      </c>
      <c r="D115" s="567">
        <f t="shared" ref="D115:L115" si="37">C115</f>
        <v>0</v>
      </c>
      <c r="E115" s="567">
        <f t="shared" si="37"/>
        <v>0</v>
      </c>
      <c r="F115" s="567">
        <f t="shared" si="37"/>
        <v>0</v>
      </c>
      <c r="G115" s="567">
        <f t="shared" si="37"/>
        <v>0</v>
      </c>
      <c r="H115" s="567">
        <f t="shared" si="37"/>
        <v>0</v>
      </c>
      <c r="I115" s="567">
        <f t="shared" si="37"/>
        <v>0</v>
      </c>
      <c r="J115" s="567">
        <f t="shared" si="37"/>
        <v>0</v>
      </c>
      <c r="K115" s="567">
        <f t="shared" si="37"/>
        <v>0</v>
      </c>
      <c r="L115" s="644">
        <f t="shared" si="37"/>
        <v>0</v>
      </c>
      <c r="M115" s="567">
        <f t="shared" ref="M115" si="38">L115</f>
        <v>0</v>
      </c>
      <c r="N115" s="567">
        <f t="shared" ref="N115" si="39">M115</f>
        <v>0</v>
      </c>
      <c r="O115" s="567">
        <f t="shared" ref="O115" si="40">N115</f>
        <v>0</v>
      </c>
      <c r="P115" s="567">
        <f t="shared" ref="P115" si="41">O115</f>
        <v>0</v>
      </c>
      <c r="Q115" s="567">
        <f t="shared" ref="Q115" si="42">P115</f>
        <v>0</v>
      </c>
    </row>
    <row r="116" spans="1:17" ht="20.25">
      <c r="A116" s="183"/>
      <c r="B116" s="230"/>
      <c r="C116" s="634"/>
      <c r="D116" s="634"/>
      <c r="E116" s="634"/>
      <c r="F116" s="634"/>
      <c r="G116" s="634"/>
      <c r="H116" s="634"/>
      <c r="I116" s="634"/>
      <c r="J116" s="634"/>
      <c r="K116" s="634"/>
      <c r="L116" s="650"/>
      <c r="M116" s="634"/>
      <c r="N116" s="634"/>
      <c r="O116" s="634"/>
      <c r="P116" s="634"/>
      <c r="Q116" s="634"/>
    </row>
    <row r="117" spans="1:17">
      <c r="A117" s="183"/>
      <c r="B117" s="637" t="s">
        <v>487</v>
      </c>
      <c r="C117" s="638" t="e">
        <f>C111-C113-C115</f>
        <v>#DIV/0!</v>
      </c>
      <c r="D117" s="638" t="e">
        <f t="shared" ref="D117:Q117" si="43">D111-D113-D115</f>
        <v>#VALUE!</v>
      </c>
      <c r="E117" s="638" t="e">
        <f t="shared" si="43"/>
        <v>#VALUE!</v>
      </c>
      <c r="F117" s="638" t="e">
        <f t="shared" si="43"/>
        <v>#VALUE!</v>
      </c>
      <c r="G117" s="638" t="e">
        <f t="shared" si="43"/>
        <v>#VALUE!</v>
      </c>
      <c r="H117" s="638" t="e">
        <f t="shared" si="43"/>
        <v>#VALUE!</v>
      </c>
      <c r="I117" s="638" t="e">
        <f t="shared" si="43"/>
        <v>#VALUE!</v>
      </c>
      <c r="J117" s="638" t="e">
        <f t="shared" si="43"/>
        <v>#VALUE!</v>
      </c>
      <c r="K117" s="638" t="e">
        <f t="shared" si="43"/>
        <v>#VALUE!</v>
      </c>
      <c r="L117" s="649" t="e">
        <f t="shared" si="43"/>
        <v>#VALUE!</v>
      </c>
      <c r="M117" s="638" t="e">
        <f t="shared" si="43"/>
        <v>#VALUE!</v>
      </c>
      <c r="N117" s="638" t="e">
        <f t="shared" si="43"/>
        <v>#VALUE!</v>
      </c>
      <c r="O117" s="638" t="e">
        <f t="shared" si="43"/>
        <v>#VALUE!</v>
      </c>
      <c r="P117" s="638" t="e">
        <f t="shared" si="43"/>
        <v>#VALUE!</v>
      </c>
      <c r="Q117" s="638" t="e">
        <f t="shared" si="43"/>
        <v>#VALUE!</v>
      </c>
    </row>
    <row r="118" spans="1:17" ht="16.5" thickBot="1">
      <c r="A118" s="205"/>
      <c r="B118" s="651" t="s">
        <v>488</v>
      </c>
      <c r="C118" s="652" t="e">
        <f>C111/C113</f>
        <v>#DIV/0!</v>
      </c>
      <c r="D118" s="652" t="e">
        <f t="shared" ref="D118:K118" si="44">D111/D113</f>
        <v>#VALUE!</v>
      </c>
      <c r="E118" s="652" t="e">
        <f t="shared" si="44"/>
        <v>#VALUE!</v>
      </c>
      <c r="F118" s="652" t="e">
        <f t="shared" si="44"/>
        <v>#VALUE!</v>
      </c>
      <c r="G118" s="652" t="e">
        <f t="shared" si="44"/>
        <v>#VALUE!</v>
      </c>
      <c r="H118" s="652" t="e">
        <f t="shared" si="44"/>
        <v>#VALUE!</v>
      </c>
      <c r="I118" s="652" t="e">
        <f t="shared" si="44"/>
        <v>#VALUE!</v>
      </c>
      <c r="J118" s="652" t="e">
        <f t="shared" si="44"/>
        <v>#VALUE!</v>
      </c>
      <c r="K118" s="652" t="e">
        <f t="shared" si="44"/>
        <v>#VALUE!</v>
      </c>
      <c r="L118" s="653" t="e">
        <f>L111/L113</f>
        <v>#VALUE!</v>
      </c>
      <c r="M118" s="640" t="e">
        <f t="shared" ref="M118:Q118" si="45">M111/M113</f>
        <v>#VALUE!</v>
      </c>
      <c r="N118" s="640" t="e">
        <f t="shared" si="45"/>
        <v>#VALUE!</v>
      </c>
      <c r="O118" s="640" t="e">
        <f t="shared" si="45"/>
        <v>#VALUE!</v>
      </c>
      <c r="P118" s="640" t="e">
        <f t="shared" si="45"/>
        <v>#VALUE!</v>
      </c>
      <c r="Q118" s="640" t="e">
        <f t="shared" si="45"/>
        <v>#VALUE!</v>
      </c>
    </row>
    <row r="119" spans="1:17">
      <c r="A119" s="215"/>
      <c r="B119" s="639"/>
      <c r="C119" s="640"/>
      <c r="D119" s="640"/>
      <c r="E119" s="640"/>
      <c r="F119" s="640"/>
      <c r="G119" s="640"/>
      <c r="H119" s="640"/>
      <c r="I119" s="640"/>
      <c r="J119" s="640"/>
      <c r="K119" s="640"/>
      <c r="L119" s="640"/>
      <c r="M119" s="640"/>
      <c r="N119" s="640"/>
      <c r="O119" s="640"/>
      <c r="P119" s="640"/>
      <c r="Q119" s="640"/>
    </row>
    <row r="120" spans="1:17">
      <c r="A120" s="215"/>
      <c r="B120" s="654" t="s">
        <v>489</v>
      </c>
      <c r="C120" s="655"/>
      <c r="D120" s="656"/>
      <c r="E120" s="656"/>
      <c r="F120" s="656"/>
      <c r="G120" s="657" t="s">
        <v>490</v>
      </c>
      <c r="H120" s="658">
        <v>1.02</v>
      </c>
      <c r="I120" s="659"/>
      <c r="J120" s="657" t="s">
        <v>491</v>
      </c>
      <c r="K120" s="658">
        <v>1.03</v>
      </c>
      <c r="L120" s="659"/>
      <c r="M120" s="996" t="s">
        <v>492</v>
      </c>
      <c r="N120" s="997">
        <f>'Income &amp; OpEx'!$U$17</f>
        <v>0.05</v>
      </c>
      <c r="O120" s="998"/>
      <c r="P120" s="998"/>
      <c r="Q120" s="999"/>
    </row>
    <row r="121" spans="1:17">
      <c r="A121" s="215"/>
      <c r="B121" s="175"/>
      <c r="C121" s="175"/>
    </row>
    <row r="122" spans="1:17">
      <c r="A122" s="215"/>
      <c r="B122" s="175"/>
      <c r="C122" s="175"/>
    </row>
    <row r="123" spans="1:17" hidden="1">
      <c r="A123" s="183"/>
      <c r="B123" s="181" t="s">
        <v>493</v>
      </c>
      <c r="C123" s="181"/>
    </row>
    <row r="124" spans="1:17" hidden="1">
      <c r="A124" s="183">
        <v>6611</v>
      </c>
      <c r="B124" s="186" t="s">
        <v>494</v>
      </c>
      <c r="C124" s="186"/>
    </row>
    <row r="125" spans="1:17" hidden="1">
      <c r="A125" s="183">
        <v>6620</v>
      </c>
      <c r="B125" s="186" t="s">
        <v>495</v>
      </c>
      <c r="C125" s="186"/>
    </row>
    <row r="126" spans="1:17" hidden="1">
      <c r="A126" s="183">
        <v>6621</v>
      </c>
      <c r="B126" s="186" t="s">
        <v>496</v>
      </c>
      <c r="C126" s="186"/>
    </row>
    <row r="127" spans="1:17" hidden="1">
      <c r="A127" s="183">
        <v>6630</v>
      </c>
      <c r="B127" s="186" t="s">
        <v>497</v>
      </c>
      <c r="C127" s="186"/>
    </row>
    <row r="128" spans="1:17" hidden="1">
      <c r="A128" s="183">
        <v>6640</v>
      </c>
      <c r="B128" s="186" t="s">
        <v>498</v>
      </c>
      <c r="C128" s="186"/>
    </row>
    <row r="129" spans="1:3" hidden="1">
      <c r="A129" s="183">
        <v>6650</v>
      </c>
      <c r="B129" s="186" t="s">
        <v>499</v>
      </c>
      <c r="C129" s="186"/>
    </row>
    <row r="130" spans="1:3" hidden="1">
      <c r="A130" s="183">
        <v>6660</v>
      </c>
      <c r="B130" s="186" t="s">
        <v>500</v>
      </c>
      <c r="C130" s="186"/>
    </row>
    <row r="131" spans="1:3" hidden="1">
      <c r="A131" s="183">
        <v>6670</v>
      </c>
      <c r="B131" s="186" t="s">
        <v>501</v>
      </c>
      <c r="C131" s="186"/>
    </row>
    <row r="132" spans="1:3" hidden="1">
      <c r="A132" s="183">
        <v>6680</v>
      </c>
      <c r="B132" s="186" t="s">
        <v>502</v>
      </c>
      <c r="C132" s="186"/>
    </row>
    <row r="133" spans="1:3" hidden="1">
      <c r="A133" s="183"/>
      <c r="B133" s="175"/>
      <c r="C133" s="175"/>
    </row>
    <row r="134" spans="1:3" hidden="1">
      <c r="A134" s="183"/>
      <c r="B134" s="175"/>
      <c r="C134" s="175"/>
    </row>
    <row r="135" spans="1:3" hidden="1">
      <c r="A135" s="183"/>
      <c r="B135" s="181" t="s">
        <v>503</v>
      </c>
      <c r="C135" s="181"/>
    </row>
    <row r="136" spans="1:3" hidden="1">
      <c r="A136" s="183">
        <v>6810</v>
      </c>
      <c r="B136" s="186" t="s">
        <v>504</v>
      </c>
      <c r="C136" s="186"/>
    </row>
    <row r="137" spans="1:3" hidden="1">
      <c r="A137" s="183">
        <v>6820</v>
      </c>
      <c r="B137" s="186" t="s">
        <v>505</v>
      </c>
      <c r="C137" s="186"/>
    </row>
    <row r="138" spans="1:3" hidden="1">
      <c r="A138" s="183">
        <v>6830</v>
      </c>
      <c r="B138" s="186" t="s">
        <v>506</v>
      </c>
      <c r="C138" s="186"/>
    </row>
    <row r="139" spans="1:3" hidden="1">
      <c r="A139" s="183">
        <v>6831</v>
      </c>
      <c r="B139" s="186" t="s">
        <v>507</v>
      </c>
      <c r="C139" s="186"/>
    </row>
    <row r="140" spans="1:3" hidden="1">
      <c r="A140" s="183">
        <v>6840</v>
      </c>
      <c r="B140" s="186" t="s">
        <v>508</v>
      </c>
      <c r="C140" s="186"/>
    </row>
    <row r="141" spans="1:3" hidden="1">
      <c r="A141" s="183">
        <v>6850</v>
      </c>
      <c r="B141" s="186" t="s">
        <v>509</v>
      </c>
      <c r="C141" s="186"/>
    </row>
    <row r="142" spans="1:3" hidden="1">
      <c r="A142" s="183">
        <v>6860</v>
      </c>
      <c r="B142" s="186" t="s">
        <v>510</v>
      </c>
      <c r="C142" s="186"/>
    </row>
    <row r="143" spans="1:3" hidden="1">
      <c r="A143" s="183">
        <v>6890</v>
      </c>
      <c r="B143" s="186" t="s">
        <v>511</v>
      </c>
      <c r="C143" s="186"/>
    </row>
    <row r="144" spans="1:3" hidden="1">
      <c r="A144" s="183"/>
      <c r="B144" s="175"/>
      <c r="C144" s="175"/>
    </row>
    <row r="145" spans="1:3" hidden="1">
      <c r="A145" s="183"/>
      <c r="B145" s="175"/>
      <c r="C145" s="175"/>
    </row>
    <row r="146" spans="1:3" hidden="1">
      <c r="A146" s="183"/>
      <c r="B146" s="175" t="s">
        <v>512</v>
      </c>
      <c r="C146" s="175"/>
    </row>
    <row r="147" spans="1:3" hidden="1">
      <c r="A147" s="183"/>
      <c r="B147" s="175"/>
      <c r="C147" s="175"/>
    </row>
    <row r="148" spans="1:3" hidden="1">
      <c r="A148" s="183"/>
      <c r="B148" s="181" t="s">
        <v>513</v>
      </c>
      <c r="C148" s="181"/>
    </row>
    <row r="149" spans="1:3" hidden="1">
      <c r="A149" s="183">
        <v>6980</v>
      </c>
      <c r="B149" s="186" t="s">
        <v>514</v>
      </c>
      <c r="C149" s="186"/>
    </row>
    <row r="150" spans="1:3" hidden="1">
      <c r="A150" s="178"/>
      <c r="B150" s="175"/>
      <c r="C150" s="175"/>
    </row>
    <row r="151" spans="1:3" hidden="1">
      <c r="A151" s="178"/>
      <c r="B151" s="181" t="s">
        <v>515</v>
      </c>
      <c r="C151" s="181"/>
    </row>
    <row r="152" spans="1:3" hidden="1">
      <c r="A152" s="183">
        <v>7115</v>
      </c>
      <c r="B152" s="186" t="s">
        <v>516</v>
      </c>
      <c r="C152" s="186"/>
    </row>
    <row r="153" spans="1:3" hidden="1">
      <c r="A153" s="183">
        <v>7190</v>
      </c>
      <c r="B153" s="186" t="s">
        <v>517</v>
      </c>
      <c r="C153" s="186"/>
    </row>
    <row r="154" spans="1:3" hidden="1">
      <c r="A154" s="178"/>
      <c r="B154" s="186"/>
      <c r="C154" s="186"/>
    </row>
    <row r="155" spans="1:3" hidden="1">
      <c r="A155" s="178"/>
      <c r="B155" s="175"/>
      <c r="C155" s="175"/>
    </row>
    <row r="156" spans="1:3" hidden="1">
      <c r="A156" s="178"/>
      <c r="B156" s="175" t="s">
        <v>518</v>
      </c>
      <c r="C156" s="175"/>
    </row>
    <row r="157" spans="1:3">
      <c r="A157" s="178"/>
      <c r="B157" s="175"/>
      <c r="C157" s="175"/>
    </row>
    <row r="158" spans="1:3">
      <c r="A158" s="178"/>
      <c r="B158" s="175"/>
      <c r="C158" s="175"/>
    </row>
    <row r="159" spans="1:3">
      <c r="A159" s="178"/>
      <c r="B159" s="175"/>
      <c r="C159" s="175"/>
    </row>
    <row r="160" spans="1:3">
      <c r="A160" s="178"/>
      <c r="B160" s="175"/>
      <c r="C160" s="175"/>
    </row>
    <row r="161" spans="1:3">
      <c r="A161" s="178"/>
      <c r="B161" s="175"/>
      <c r="C161" s="175"/>
    </row>
    <row r="162" spans="1:3">
      <c r="A162" s="178"/>
      <c r="B162" s="175"/>
      <c r="C162" s="175"/>
    </row>
    <row r="163" spans="1:3">
      <c r="A163" s="178"/>
      <c r="B163" s="175"/>
      <c r="C163" s="175"/>
    </row>
    <row r="164" spans="1:3">
      <c r="A164" s="178"/>
      <c r="B164" s="175"/>
      <c r="C164" s="175"/>
    </row>
    <row r="165" spans="1:3">
      <c r="A165" s="178"/>
      <c r="B165" s="175"/>
      <c r="C165" s="175"/>
    </row>
    <row r="166" spans="1:3">
      <c r="A166" s="178"/>
      <c r="B166" s="175"/>
      <c r="C166" s="175"/>
    </row>
    <row r="167" spans="1:3">
      <c r="A167" s="195"/>
      <c r="B167" s="175"/>
      <c r="C167" s="175"/>
    </row>
    <row r="168" spans="1:3">
      <c r="A168" s="196"/>
      <c r="B168" s="197"/>
      <c r="C168" s="197"/>
    </row>
    <row r="169" spans="1:3" ht="18">
      <c r="A169" s="198"/>
      <c r="B169" s="197"/>
      <c r="C169" s="197"/>
    </row>
    <row r="170" spans="1:3">
      <c r="A170" s="178"/>
      <c r="B170" s="199"/>
      <c r="C170" s="199"/>
    </row>
    <row r="171" spans="1:3">
      <c r="A171" s="178"/>
      <c r="B171" s="199"/>
      <c r="C171" s="199"/>
    </row>
    <row r="172" spans="1:3">
      <c r="A172" s="178"/>
      <c r="B172" s="199"/>
      <c r="C172" s="199"/>
    </row>
    <row r="173" spans="1:3">
      <c r="A173" s="178"/>
      <c r="B173" s="199"/>
      <c r="C173" s="199"/>
    </row>
    <row r="174" spans="1:3">
      <c r="A174" s="178"/>
      <c r="B174" s="197"/>
      <c r="C174" s="197"/>
    </row>
    <row r="175" spans="1:3">
      <c r="A175" s="178"/>
      <c r="B175" s="175"/>
      <c r="C175" s="175"/>
    </row>
    <row r="176" spans="1:3">
      <c r="A176" s="178"/>
      <c r="B176" s="175"/>
      <c r="C176" s="175"/>
    </row>
    <row r="177" spans="1:5">
      <c r="A177"/>
      <c r="B177"/>
      <c r="C177"/>
      <c r="D177"/>
      <c r="E177"/>
    </row>
    <row r="178" spans="1:5">
      <c r="A178"/>
      <c r="B178"/>
      <c r="C178"/>
      <c r="D178"/>
      <c r="E178"/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  <row r="193" spans="1:5">
      <c r="A193"/>
      <c r="B193"/>
      <c r="C193"/>
      <c r="D193"/>
      <c r="E193"/>
    </row>
    <row r="194" spans="1:5">
      <c r="A194"/>
      <c r="B194"/>
      <c r="C194"/>
      <c r="D194"/>
      <c r="E194"/>
    </row>
    <row r="195" spans="1:5">
      <c r="A195"/>
      <c r="B195"/>
      <c r="C195"/>
      <c r="D195"/>
      <c r="E195"/>
    </row>
    <row r="196" spans="1:5">
      <c r="A196"/>
      <c r="B196"/>
      <c r="C196"/>
      <c r="D196"/>
      <c r="E196"/>
    </row>
    <row r="197" spans="1:5">
      <c r="A197"/>
      <c r="B197"/>
      <c r="C197"/>
      <c r="D197"/>
      <c r="E197"/>
    </row>
    <row r="198" spans="1:5">
      <c r="A198"/>
      <c r="B198"/>
      <c r="C198"/>
      <c r="D198"/>
      <c r="E198"/>
    </row>
    <row r="199" spans="1:5">
      <c r="A199"/>
      <c r="B199"/>
      <c r="C199"/>
      <c r="D199"/>
      <c r="E199"/>
    </row>
    <row r="200" spans="1:5">
      <c r="A200"/>
      <c r="B200"/>
      <c r="C200"/>
      <c r="D200"/>
      <c r="E200"/>
    </row>
    <row r="201" spans="1:5">
      <c r="A201"/>
      <c r="B201"/>
      <c r="C201"/>
      <c r="D201"/>
      <c r="E201"/>
    </row>
    <row r="202" spans="1:5">
      <c r="A202"/>
      <c r="B202"/>
      <c r="C202"/>
      <c r="D202"/>
      <c r="E202"/>
    </row>
    <row r="203" spans="1:5">
      <c r="A203"/>
      <c r="B203"/>
      <c r="C203"/>
      <c r="D203"/>
      <c r="E203"/>
    </row>
    <row r="204" spans="1:5">
      <c r="A204"/>
      <c r="B204"/>
      <c r="C204"/>
      <c r="D204"/>
      <c r="E204"/>
    </row>
    <row r="205" spans="1:5">
      <c r="A205"/>
      <c r="B205"/>
      <c r="C205"/>
      <c r="D205"/>
      <c r="E205"/>
    </row>
    <row r="206" spans="1:5">
      <c r="A206"/>
      <c r="B206"/>
      <c r="C206"/>
      <c r="D206"/>
      <c r="E206"/>
    </row>
    <row r="207" spans="1:5">
      <c r="A207" s="178"/>
      <c r="B207" s="175"/>
      <c r="C207" s="175"/>
    </row>
    <row r="208" spans="1:5">
      <c r="A208" s="178"/>
      <c r="B208" s="175"/>
      <c r="C208" s="175"/>
    </row>
    <row r="209" spans="1:3">
      <c r="A209" s="178"/>
      <c r="B209" s="175"/>
      <c r="C209" s="175"/>
    </row>
    <row r="210" spans="1:3">
      <c r="A210" s="178"/>
      <c r="B210" s="175"/>
      <c r="C210" s="175"/>
    </row>
    <row r="211" spans="1:3">
      <c r="A211" s="178"/>
      <c r="B211" s="175"/>
      <c r="C211" s="175"/>
    </row>
    <row r="212" spans="1:3">
      <c r="A212" s="178"/>
      <c r="B212" s="175"/>
      <c r="C212" s="175"/>
    </row>
    <row r="213" spans="1:3">
      <c r="A213" s="178"/>
      <c r="B213" s="175"/>
      <c r="C213" s="175"/>
    </row>
    <row r="214" spans="1:3">
      <c r="A214" s="178"/>
      <c r="B214" s="175"/>
      <c r="C214" s="175"/>
    </row>
    <row r="215" spans="1:3">
      <c r="A215" s="178"/>
      <c r="B215" s="175"/>
      <c r="C215" s="175"/>
    </row>
    <row r="216" spans="1:3">
      <c r="A216" s="178"/>
      <c r="B216" s="175"/>
      <c r="C216" s="175"/>
    </row>
    <row r="217" spans="1:3">
      <c r="A217" s="178"/>
      <c r="B217" s="175"/>
      <c r="C217" s="175"/>
    </row>
    <row r="218" spans="1:3">
      <c r="A218" s="178"/>
      <c r="B218" s="175"/>
      <c r="C218" s="175"/>
    </row>
    <row r="219" spans="1:3">
      <c r="A219" s="178"/>
      <c r="B219" s="175"/>
      <c r="C219" s="175"/>
    </row>
    <row r="220" spans="1:3">
      <c r="A220" s="178"/>
      <c r="B220" s="175"/>
      <c r="C220" s="175"/>
    </row>
    <row r="221" spans="1:3">
      <c r="A221" s="178"/>
      <c r="B221" s="175"/>
      <c r="C221" s="175"/>
    </row>
    <row r="222" spans="1:3">
      <c r="A222" s="178"/>
      <c r="B222" s="175"/>
      <c r="C222" s="175"/>
    </row>
    <row r="223" spans="1:3">
      <c r="A223" s="178"/>
      <c r="B223" s="175"/>
      <c r="C223" s="175"/>
    </row>
    <row r="224" spans="1:3">
      <c r="A224" s="178"/>
      <c r="B224" s="175"/>
      <c r="C224" s="175"/>
    </row>
    <row r="225" spans="1:3">
      <c r="A225" s="178"/>
      <c r="B225" s="175"/>
      <c r="C225" s="175"/>
    </row>
    <row r="226" spans="1:3">
      <c r="A226" s="178"/>
      <c r="B226" s="175"/>
      <c r="C226" s="175"/>
    </row>
    <row r="227" spans="1:3">
      <c r="A227" s="178"/>
      <c r="B227" s="175"/>
      <c r="C227" s="175"/>
    </row>
    <row r="228" spans="1:3">
      <c r="A228" s="178"/>
      <c r="B228" s="175"/>
      <c r="C228" s="175"/>
    </row>
    <row r="229" spans="1:3">
      <c r="A229" s="178"/>
      <c r="B229" s="175"/>
      <c r="C229" s="175"/>
    </row>
    <row r="230" spans="1:3">
      <c r="A230" s="178"/>
      <c r="B230" s="175"/>
      <c r="C230" s="175"/>
    </row>
    <row r="231" spans="1:3">
      <c r="A231" s="178"/>
      <c r="B231" s="175"/>
      <c r="C231" s="175"/>
    </row>
    <row r="232" spans="1:3">
      <c r="A232" s="178"/>
      <c r="B232" s="175"/>
      <c r="C232" s="175"/>
    </row>
    <row r="233" spans="1:3">
      <c r="A233" s="178"/>
      <c r="B233" s="175"/>
      <c r="C233" s="175"/>
    </row>
    <row r="234" spans="1:3">
      <c r="A234" s="178"/>
      <c r="B234" s="175"/>
      <c r="C234" s="175"/>
    </row>
    <row r="235" spans="1:3">
      <c r="A235" s="178"/>
      <c r="B235" s="175"/>
      <c r="C235" s="175"/>
    </row>
    <row r="236" spans="1:3">
      <c r="A236" s="178"/>
      <c r="B236" s="175"/>
      <c r="C236" s="175"/>
    </row>
    <row r="237" spans="1:3">
      <c r="A237" s="178"/>
      <c r="B237" s="175"/>
      <c r="C237" s="175"/>
    </row>
    <row r="238" spans="1:3">
      <c r="A238" s="178"/>
      <c r="B238" s="175"/>
      <c r="C238" s="175"/>
    </row>
    <row r="239" spans="1:3">
      <c r="A239" s="178"/>
      <c r="B239" s="175"/>
      <c r="C239" s="175"/>
    </row>
    <row r="240" spans="1:3">
      <c r="A240" s="178"/>
      <c r="B240" s="175"/>
      <c r="C240" s="175"/>
    </row>
    <row r="241" spans="1:3" ht="16.5" thickBot="1">
      <c r="A241" s="201"/>
      <c r="B241" s="202"/>
      <c r="C241" s="202"/>
    </row>
  </sheetData>
  <mergeCells count="2">
    <mergeCell ref="A1:Q1"/>
    <mergeCell ref="A2:Q2"/>
  </mergeCells>
  <phoneticPr fontId="7" type="noConversion"/>
  <printOptions horizontalCentered="1"/>
  <pageMargins left="0.5" right="0.5" top="0.5" bottom="0.5" header="0.3" footer="0.3"/>
  <pageSetup scale="67" fitToHeight="2" orientation="landscape" r:id="rId1"/>
  <headerFooter scaleWithDoc="0">
    <oddHeader xml:space="preserve">&amp;R&amp;"Times New Roman,Regular"&amp;7
</oddHeader>
    <oddFooter>&amp;LPRIVELEGED AND CONFIDENTIAL&amp;R&amp;G</oddFooter>
    <firstHeader>&amp;CEXECUTIVE SUMMARY</first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AH313"/>
  <sheetViews>
    <sheetView showGridLines="0" view="pageBreakPreview" topLeftCell="A6" zoomScale="70" zoomScaleNormal="70" zoomScaleSheetLayoutView="70" zoomScalePageLayoutView="25" workbookViewId="0">
      <selection activeCell="F84" sqref="F84"/>
    </sheetView>
  </sheetViews>
  <sheetFormatPr defaultColWidth="9.140625" defaultRowHeight="15.75"/>
  <cols>
    <col min="1" max="1" width="14.85546875" style="2"/>
    <col min="2" max="2" width="50.85546875" style="2" customWidth="1"/>
    <col min="3" max="3" width="16.7109375" style="2" customWidth="1"/>
    <col min="4" max="4" width="14.85546875" style="2" customWidth="1"/>
    <col min="5" max="5" width="14.85546875" style="2"/>
    <col min="6" max="19" width="12.85546875" style="7" bestFit="1" customWidth="1"/>
    <col min="20" max="16384" width="9.140625" style="7"/>
  </cols>
  <sheetData>
    <row r="1" spans="1:34" s="2" customFormat="1" ht="18.75">
      <c r="A1" s="1706" t="str">
        <f>UPPER('Input Page'!$F$32)</f>
        <v/>
      </c>
      <c r="B1" s="1706"/>
      <c r="C1" s="1706"/>
      <c r="D1" s="1706"/>
      <c r="E1" s="1706"/>
      <c r="F1" s="1706"/>
      <c r="G1" s="1706"/>
      <c r="H1" s="1706"/>
      <c r="I1" s="1706"/>
      <c r="J1" s="1706"/>
      <c r="K1" s="1706"/>
      <c r="L1" s="1706"/>
      <c r="M1" s="1706"/>
      <c r="N1" s="1706"/>
      <c r="O1" s="1706"/>
      <c r="P1" s="1706"/>
      <c r="Q1" s="1706"/>
      <c r="R1" s="1706"/>
      <c r="S1" s="1706"/>
      <c r="X1" s="46"/>
      <c r="AC1" s="46"/>
      <c r="AF1" s="1"/>
      <c r="AG1" s="1"/>
      <c r="AH1" s="1"/>
    </row>
    <row r="2" spans="1:34" s="2" customFormat="1" ht="18.75">
      <c r="A2" s="1706" t="s">
        <v>1096</v>
      </c>
      <c r="B2" s="1706"/>
      <c r="C2" s="1706"/>
      <c r="D2" s="1706"/>
      <c r="E2" s="1706"/>
      <c r="F2" s="1706"/>
      <c r="G2" s="1706"/>
      <c r="H2" s="1706"/>
      <c r="I2" s="1706"/>
      <c r="J2" s="1706"/>
      <c r="K2" s="1706"/>
      <c r="L2" s="1706"/>
      <c r="M2" s="1706"/>
      <c r="N2" s="1706"/>
      <c r="O2" s="1706"/>
      <c r="P2" s="1706"/>
      <c r="Q2" s="1706"/>
      <c r="R2" s="1706"/>
      <c r="S2" s="1706"/>
      <c r="X2" s="46"/>
      <c r="AC2" s="46"/>
      <c r="AF2" s="1"/>
      <c r="AG2" s="1"/>
      <c r="AH2" s="1"/>
    </row>
    <row r="3" spans="1:34" ht="21" thickBot="1">
      <c r="A3" s="770"/>
      <c r="B3" s="175"/>
      <c r="C3" s="175"/>
      <c r="D3" s="175"/>
      <c r="E3" s="175"/>
      <c r="T3" s="470" t="s">
        <v>617</v>
      </c>
      <c r="U3" s="784"/>
      <c r="V3" s="784"/>
      <c r="W3" s="784"/>
      <c r="X3" s="784"/>
      <c r="Y3" s="784"/>
      <c r="Z3" s="784"/>
      <c r="AA3" s="784"/>
      <c r="AB3" s="784"/>
    </row>
    <row r="4" spans="1:34">
      <c r="A4" s="771"/>
      <c r="B4" s="642"/>
      <c r="C4" s="642"/>
      <c r="D4" s="642"/>
      <c r="E4" s="642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222"/>
    </row>
    <row r="5" spans="1:34">
      <c r="A5" s="178"/>
      <c r="B5" s="175"/>
      <c r="C5" s="175"/>
      <c r="D5" s="175"/>
      <c r="E5" s="7"/>
      <c r="S5" s="140"/>
    </row>
    <row r="6" spans="1:34">
      <c r="A6" s="779" t="s">
        <v>389</v>
      </c>
      <c r="B6" s="780" t="s">
        <v>390</v>
      </c>
      <c r="C6" s="781"/>
      <c r="D6" s="781"/>
      <c r="E6" s="781" t="s">
        <v>311</v>
      </c>
      <c r="F6" s="781" t="s">
        <v>312</v>
      </c>
      <c r="G6" s="781" t="s">
        <v>313</v>
      </c>
      <c r="H6" s="781" t="s">
        <v>314</v>
      </c>
      <c r="I6" s="781" t="s">
        <v>315</v>
      </c>
      <c r="J6" s="781" t="s">
        <v>391</v>
      </c>
      <c r="K6" s="781" t="s">
        <v>392</v>
      </c>
      <c r="L6" s="781" t="s">
        <v>393</v>
      </c>
      <c r="M6" s="781" t="s">
        <v>394</v>
      </c>
      <c r="N6" s="781" t="s">
        <v>395</v>
      </c>
      <c r="O6" s="781" t="s">
        <v>396</v>
      </c>
      <c r="P6" s="781" t="s">
        <v>397</v>
      </c>
      <c r="Q6" s="781" t="s">
        <v>398</v>
      </c>
      <c r="R6" s="781" t="s">
        <v>399</v>
      </c>
      <c r="S6" s="782" t="s">
        <v>400</v>
      </c>
    </row>
    <row r="7" spans="1:34">
      <c r="A7" s="178"/>
      <c r="B7" s="181" t="str">
        <f>'Income &amp; OpEx'!B7</f>
        <v>Gross Potential</v>
      </c>
      <c r="C7" s="181"/>
      <c r="D7" s="181"/>
      <c r="E7" s="175"/>
      <c r="S7" s="140"/>
    </row>
    <row r="8" spans="1:34">
      <c r="A8" s="183">
        <f>'Income &amp; OpEx'!A8</f>
        <v>5120</v>
      </c>
      <c r="B8" s="186" t="str">
        <f>'Income &amp; OpEx'!B8</f>
        <v xml:space="preserve"> Rental Income - Residential</v>
      </c>
      <c r="C8" s="213"/>
      <c r="D8" s="213"/>
      <c r="E8" s="567">
        <f>'Income &amp; OpEx'!O8</f>
        <v>0</v>
      </c>
      <c r="F8" s="500">
        <f t="shared" ref="F8:S8" si="0">ROUND(E8*$J$154,0)</f>
        <v>0</v>
      </c>
      <c r="G8" s="500">
        <f t="shared" si="0"/>
        <v>0</v>
      </c>
      <c r="H8" s="500">
        <f t="shared" si="0"/>
        <v>0</v>
      </c>
      <c r="I8" s="500">
        <f t="shared" si="0"/>
        <v>0</v>
      </c>
      <c r="J8" s="500">
        <f t="shared" si="0"/>
        <v>0</v>
      </c>
      <c r="K8" s="500">
        <f t="shared" si="0"/>
        <v>0</v>
      </c>
      <c r="L8" s="500">
        <f t="shared" si="0"/>
        <v>0</v>
      </c>
      <c r="M8" s="500">
        <f t="shared" si="0"/>
        <v>0</v>
      </c>
      <c r="N8" s="500">
        <f t="shared" si="0"/>
        <v>0</v>
      </c>
      <c r="O8" s="500">
        <f t="shared" si="0"/>
        <v>0</v>
      </c>
      <c r="P8" s="500">
        <f t="shared" si="0"/>
        <v>0</v>
      </c>
      <c r="Q8" s="500">
        <f t="shared" si="0"/>
        <v>0</v>
      </c>
      <c r="R8" s="500">
        <f t="shared" si="0"/>
        <v>0</v>
      </c>
      <c r="S8" s="563">
        <f t="shared" si="0"/>
        <v>0</v>
      </c>
    </row>
    <row r="9" spans="1:34" hidden="1">
      <c r="A9" s="183">
        <f>'Income &amp; OpEx'!A9</f>
        <v>5121</v>
      </c>
      <c r="B9" s="186" t="str">
        <f>'Income &amp; OpEx'!B9</f>
        <v xml:space="preserve"> Rental Income - Tenant Assist.</v>
      </c>
      <c r="C9" s="175"/>
      <c r="D9" s="175"/>
      <c r="E9" s="567">
        <f>'Income &amp; OpEx'!O9</f>
        <v>0</v>
      </c>
      <c r="F9" s="500">
        <f t="shared" ref="F9:S9" si="1">E9*$J$154</f>
        <v>0</v>
      </c>
      <c r="G9" s="500">
        <f t="shared" si="1"/>
        <v>0</v>
      </c>
      <c r="H9" s="500">
        <f t="shared" si="1"/>
        <v>0</v>
      </c>
      <c r="I9" s="500">
        <f t="shared" si="1"/>
        <v>0</v>
      </c>
      <c r="J9" s="500">
        <f t="shared" si="1"/>
        <v>0</v>
      </c>
      <c r="K9" s="500">
        <f t="shared" si="1"/>
        <v>0</v>
      </c>
      <c r="L9" s="500">
        <f t="shared" si="1"/>
        <v>0</v>
      </c>
      <c r="M9" s="500">
        <f t="shared" si="1"/>
        <v>0</v>
      </c>
      <c r="N9" s="500">
        <f t="shared" si="1"/>
        <v>0</v>
      </c>
      <c r="O9" s="500">
        <f t="shared" si="1"/>
        <v>0</v>
      </c>
      <c r="P9" s="500">
        <f t="shared" si="1"/>
        <v>0</v>
      </c>
      <c r="Q9" s="500">
        <f t="shared" si="1"/>
        <v>0</v>
      </c>
      <c r="R9" s="500">
        <f t="shared" si="1"/>
        <v>0</v>
      </c>
      <c r="S9" s="563">
        <f t="shared" si="1"/>
        <v>0</v>
      </c>
    </row>
    <row r="10" spans="1:34" hidden="1">
      <c r="A10" s="183">
        <f>'Income &amp; OpEx'!A10</f>
        <v>5140</v>
      </c>
      <c r="B10" s="186" t="str">
        <f>'Income &amp; OpEx'!B10</f>
        <v xml:space="preserve"> Rental Income  - Commercial</v>
      </c>
      <c r="C10" s="175"/>
      <c r="D10" s="175"/>
      <c r="E10" s="567">
        <f>'Income &amp; OpEx'!O10</f>
        <v>0</v>
      </c>
      <c r="F10" s="500">
        <f t="shared" ref="F10:S10" si="2">ROUND(E10*$J$154,0)</f>
        <v>0</v>
      </c>
      <c r="G10" s="500">
        <f t="shared" si="2"/>
        <v>0</v>
      </c>
      <c r="H10" s="500">
        <f t="shared" si="2"/>
        <v>0</v>
      </c>
      <c r="I10" s="500">
        <f t="shared" si="2"/>
        <v>0</v>
      </c>
      <c r="J10" s="500">
        <f t="shared" si="2"/>
        <v>0</v>
      </c>
      <c r="K10" s="500">
        <f t="shared" si="2"/>
        <v>0</v>
      </c>
      <c r="L10" s="500">
        <f t="shared" si="2"/>
        <v>0</v>
      </c>
      <c r="M10" s="500">
        <f t="shared" si="2"/>
        <v>0</v>
      </c>
      <c r="N10" s="500">
        <f t="shared" si="2"/>
        <v>0</v>
      </c>
      <c r="O10" s="500">
        <f t="shared" si="2"/>
        <v>0</v>
      </c>
      <c r="P10" s="500">
        <f t="shared" si="2"/>
        <v>0</v>
      </c>
      <c r="Q10" s="500">
        <f t="shared" si="2"/>
        <v>0</v>
      </c>
      <c r="R10" s="500">
        <f t="shared" si="2"/>
        <v>0</v>
      </c>
      <c r="S10" s="563">
        <f t="shared" si="2"/>
        <v>0</v>
      </c>
    </row>
    <row r="11" spans="1:34" hidden="1">
      <c r="A11" s="183">
        <f>'Income &amp; OpEx'!A11</f>
        <v>5145</v>
      </c>
      <c r="B11" s="186" t="str">
        <f>'Income &amp; OpEx'!B11</f>
        <v xml:space="preserve"> Rental Income  - Cell Tower</v>
      </c>
      <c r="C11" s="175"/>
      <c r="D11" s="175"/>
      <c r="E11" s="567">
        <f>'Income &amp; OpEx'!O11</f>
        <v>0</v>
      </c>
      <c r="F11" s="500">
        <f t="shared" ref="F11:S11" si="3">ROUND(E11*$J$154,0)</f>
        <v>0</v>
      </c>
      <c r="G11" s="500">
        <f t="shared" si="3"/>
        <v>0</v>
      </c>
      <c r="H11" s="500">
        <f t="shared" si="3"/>
        <v>0</v>
      </c>
      <c r="I11" s="500">
        <f t="shared" si="3"/>
        <v>0</v>
      </c>
      <c r="J11" s="500">
        <f t="shared" si="3"/>
        <v>0</v>
      </c>
      <c r="K11" s="500">
        <f t="shared" si="3"/>
        <v>0</v>
      </c>
      <c r="L11" s="500">
        <f t="shared" si="3"/>
        <v>0</v>
      </c>
      <c r="M11" s="500">
        <f t="shared" si="3"/>
        <v>0</v>
      </c>
      <c r="N11" s="500">
        <f t="shared" si="3"/>
        <v>0</v>
      </c>
      <c r="O11" s="500">
        <f t="shared" si="3"/>
        <v>0</v>
      </c>
      <c r="P11" s="500">
        <f t="shared" si="3"/>
        <v>0</v>
      </c>
      <c r="Q11" s="500">
        <f t="shared" si="3"/>
        <v>0</v>
      </c>
      <c r="R11" s="500">
        <f t="shared" si="3"/>
        <v>0</v>
      </c>
      <c r="S11" s="563">
        <f t="shared" si="3"/>
        <v>0</v>
      </c>
    </row>
    <row r="12" spans="1:34" hidden="1">
      <c r="A12" s="183">
        <f>'Income &amp; OpEx'!A12</f>
        <v>5190</v>
      </c>
      <c r="B12" s="186" t="str">
        <f>'Income &amp; OpEx'!B12</f>
        <v xml:space="preserve"> Rental Income - Misc. - Pet Fee Income, CAM</v>
      </c>
      <c r="C12" s="175"/>
      <c r="D12" s="175"/>
      <c r="E12" s="567">
        <f>'Income &amp; OpEx'!O12</f>
        <v>0</v>
      </c>
      <c r="F12" s="500">
        <f t="shared" ref="F12:S12" si="4">ROUND(E12*$J$154,0)</f>
        <v>0</v>
      </c>
      <c r="G12" s="500">
        <f t="shared" si="4"/>
        <v>0</v>
      </c>
      <c r="H12" s="500">
        <f t="shared" si="4"/>
        <v>0</v>
      </c>
      <c r="I12" s="500">
        <f t="shared" si="4"/>
        <v>0</v>
      </c>
      <c r="J12" s="500">
        <f t="shared" si="4"/>
        <v>0</v>
      </c>
      <c r="K12" s="500">
        <f t="shared" si="4"/>
        <v>0</v>
      </c>
      <c r="L12" s="500">
        <f t="shared" si="4"/>
        <v>0</v>
      </c>
      <c r="M12" s="500">
        <f t="shared" si="4"/>
        <v>0</v>
      </c>
      <c r="N12" s="500">
        <f t="shared" si="4"/>
        <v>0</v>
      </c>
      <c r="O12" s="500">
        <f t="shared" si="4"/>
        <v>0</v>
      </c>
      <c r="P12" s="500">
        <f t="shared" si="4"/>
        <v>0</v>
      </c>
      <c r="Q12" s="500">
        <f t="shared" si="4"/>
        <v>0</v>
      </c>
      <c r="R12" s="500">
        <f t="shared" si="4"/>
        <v>0</v>
      </c>
      <c r="S12" s="563">
        <f t="shared" si="4"/>
        <v>0</v>
      </c>
    </row>
    <row r="13" spans="1:34" hidden="1">
      <c r="A13" s="183">
        <f>'Income &amp; OpEx'!A13</f>
        <v>5193</v>
      </c>
      <c r="B13" s="186" t="str">
        <f>'Income &amp; OpEx'!B13</f>
        <v xml:space="preserve"> Special Claims Revenue</v>
      </c>
      <c r="C13" s="175"/>
      <c r="D13" s="175"/>
      <c r="E13" s="635">
        <f>'Income &amp; OpEx'!O13</f>
        <v>0</v>
      </c>
      <c r="F13" s="635">
        <f t="shared" ref="F13:S13" si="5">ROUND(E13*$J$154,0)</f>
        <v>0</v>
      </c>
      <c r="G13" s="635">
        <f t="shared" si="5"/>
        <v>0</v>
      </c>
      <c r="H13" s="635">
        <f t="shared" si="5"/>
        <v>0</v>
      </c>
      <c r="I13" s="635">
        <f t="shared" si="5"/>
        <v>0</v>
      </c>
      <c r="J13" s="635">
        <f t="shared" si="5"/>
        <v>0</v>
      </c>
      <c r="K13" s="635">
        <f t="shared" si="5"/>
        <v>0</v>
      </c>
      <c r="L13" s="635">
        <f t="shared" si="5"/>
        <v>0</v>
      </c>
      <c r="M13" s="635">
        <f t="shared" si="5"/>
        <v>0</v>
      </c>
      <c r="N13" s="635">
        <f t="shared" si="5"/>
        <v>0</v>
      </c>
      <c r="O13" s="635">
        <f t="shared" si="5"/>
        <v>0</v>
      </c>
      <c r="P13" s="635">
        <f t="shared" si="5"/>
        <v>0</v>
      </c>
      <c r="Q13" s="635">
        <f t="shared" si="5"/>
        <v>0</v>
      </c>
      <c r="R13" s="635">
        <f t="shared" si="5"/>
        <v>0</v>
      </c>
      <c r="S13" s="646">
        <f t="shared" si="5"/>
        <v>0</v>
      </c>
    </row>
    <row r="14" spans="1:34">
      <c r="A14" s="183"/>
      <c r="B14" s="175"/>
      <c r="C14" s="175"/>
      <c r="D14" s="175"/>
      <c r="E14" s="1566">
        <f>SUM(E8:E13)</f>
        <v>0</v>
      </c>
      <c r="F14" s="1566">
        <f t="shared" ref="F14:S14" si="6">SUM(F8:F13)</f>
        <v>0</v>
      </c>
      <c r="G14" s="1566">
        <f t="shared" si="6"/>
        <v>0</v>
      </c>
      <c r="H14" s="1566">
        <f t="shared" si="6"/>
        <v>0</v>
      </c>
      <c r="I14" s="1566">
        <f t="shared" si="6"/>
        <v>0</v>
      </c>
      <c r="J14" s="1566">
        <f t="shared" si="6"/>
        <v>0</v>
      </c>
      <c r="K14" s="1566">
        <f t="shared" si="6"/>
        <v>0</v>
      </c>
      <c r="L14" s="1566">
        <f t="shared" si="6"/>
        <v>0</v>
      </c>
      <c r="M14" s="1566">
        <f t="shared" si="6"/>
        <v>0</v>
      </c>
      <c r="N14" s="1566">
        <f t="shared" si="6"/>
        <v>0</v>
      </c>
      <c r="O14" s="1566">
        <f t="shared" si="6"/>
        <v>0</v>
      </c>
      <c r="P14" s="1566">
        <f t="shared" si="6"/>
        <v>0</v>
      </c>
      <c r="Q14" s="1566">
        <f t="shared" si="6"/>
        <v>0</v>
      </c>
      <c r="R14" s="1566">
        <f t="shared" si="6"/>
        <v>0</v>
      </c>
      <c r="S14" s="1584">
        <f t="shared" si="6"/>
        <v>0</v>
      </c>
    </row>
    <row r="15" spans="1:34">
      <c r="A15" s="183"/>
      <c r="B15" s="181" t="str">
        <f>'Income &amp; OpEx'!B16</f>
        <v>Vacancies</v>
      </c>
      <c r="C15" s="228"/>
      <c r="D15" s="181"/>
      <c r="E15" s="633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555"/>
    </row>
    <row r="16" spans="1:34">
      <c r="A16" s="183">
        <f>'Income &amp; OpEx'!A17</f>
        <v>5210</v>
      </c>
      <c r="B16" s="186" t="str">
        <f>'Income &amp; OpEx'!B17</f>
        <v xml:space="preserve"> Residential Vacancy - (5%)</v>
      </c>
      <c r="C16" s="228"/>
      <c r="D16" s="186"/>
      <c r="E16" s="567">
        <f>E14*$P$154</f>
        <v>0</v>
      </c>
      <c r="F16" s="567">
        <f>F14*$P$154</f>
        <v>0</v>
      </c>
      <c r="G16" s="567">
        <f t="shared" ref="G16:S16" si="7">G14*$P$154</f>
        <v>0</v>
      </c>
      <c r="H16" s="567">
        <f t="shared" si="7"/>
        <v>0</v>
      </c>
      <c r="I16" s="567">
        <f t="shared" si="7"/>
        <v>0</v>
      </c>
      <c r="J16" s="567">
        <f t="shared" si="7"/>
        <v>0</v>
      </c>
      <c r="K16" s="567">
        <f t="shared" si="7"/>
        <v>0</v>
      </c>
      <c r="L16" s="567">
        <f t="shared" si="7"/>
        <v>0</v>
      </c>
      <c r="M16" s="567">
        <f t="shared" si="7"/>
        <v>0</v>
      </c>
      <c r="N16" s="567">
        <f t="shared" si="7"/>
        <v>0</v>
      </c>
      <c r="O16" s="567">
        <f t="shared" si="7"/>
        <v>0</v>
      </c>
      <c r="P16" s="567">
        <f t="shared" si="7"/>
        <v>0</v>
      </c>
      <c r="Q16" s="567">
        <f t="shared" si="7"/>
        <v>0</v>
      </c>
      <c r="R16" s="567">
        <f t="shared" si="7"/>
        <v>0</v>
      </c>
      <c r="S16" s="644">
        <f t="shared" si="7"/>
        <v>0</v>
      </c>
    </row>
    <row r="17" spans="1:19" hidden="1">
      <c r="A17" s="183">
        <f>'Income &amp; OpEx'!A18</f>
        <v>5290</v>
      </c>
      <c r="B17" s="186" t="str">
        <f>'Income &amp; OpEx'!B18</f>
        <v xml:space="preserve"> Free Rent /Rent Loss/Late Fees/Rent Concession</v>
      </c>
      <c r="C17" s="186"/>
      <c r="D17" s="186"/>
      <c r="E17" s="1013">
        <f>E14*'Income &amp; OpEx'!$U$18</f>
        <v>0</v>
      </c>
      <c r="F17" s="1013">
        <f>F14*-'Income &amp; OpEx'!$U$18</f>
        <v>0</v>
      </c>
      <c r="G17" s="1013">
        <f>G14*-'Income &amp; OpEx'!$U$18</f>
        <v>0</v>
      </c>
      <c r="H17" s="1013">
        <f>H14*-'Income &amp; OpEx'!$U$18</f>
        <v>0</v>
      </c>
      <c r="I17" s="1013">
        <f>I14*-'Income &amp; OpEx'!$U$18</f>
        <v>0</v>
      </c>
      <c r="J17" s="1013">
        <f>J14*-'Income &amp; OpEx'!$U$18</f>
        <v>0</v>
      </c>
      <c r="K17" s="1013">
        <f>K14*-'Income &amp; OpEx'!$U$18</f>
        <v>0</v>
      </c>
      <c r="L17" s="1013">
        <f>L14*-'Income &amp; OpEx'!$U$18</f>
        <v>0</v>
      </c>
      <c r="M17" s="1013">
        <f>M14*-'Income &amp; OpEx'!$U$18</f>
        <v>0</v>
      </c>
      <c r="N17" s="1013">
        <f>N14*-'Income &amp; OpEx'!$U$18</f>
        <v>0</v>
      </c>
      <c r="O17" s="1013">
        <f>O14*-'Income &amp; OpEx'!$U$18</f>
        <v>0</v>
      </c>
      <c r="P17" s="1013">
        <f>P14*-'Income &amp; OpEx'!$U$18</f>
        <v>0</v>
      </c>
      <c r="Q17" s="1013">
        <f>Q14*-'Income &amp; OpEx'!$U$18</f>
        <v>0</v>
      </c>
      <c r="R17" s="1013">
        <f>R14*-'Income &amp; OpEx'!$U$18</f>
        <v>0</v>
      </c>
      <c r="S17" s="1014">
        <f>S14*-'Income &amp; OpEx'!$U$18</f>
        <v>0</v>
      </c>
    </row>
    <row r="18" spans="1:19">
      <c r="A18" s="183"/>
      <c r="B18" s="175"/>
      <c r="C18" s="175"/>
      <c r="D18" s="175"/>
      <c r="E18" s="1566">
        <f>SUM(E16:E17)</f>
        <v>0</v>
      </c>
      <c r="F18" s="1566">
        <f t="shared" ref="F18:S18" si="8">SUM(F16:F17)</f>
        <v>0</v>
      </c>
      <c r="G18" s="1566">
        <f t="shared" si="8"/>
        <v>0</v>
      </c>
      <c r="H18" s="1566">
        <f t="shared" si="8"/>
        <v>0</v>
      </c>
      <c r="I18" s="1566">
        <f t="shared" si="8"/>
        <v>0</v>
      </c>
      <c r="J18" s="1566">
        <f t="shared" si="8"/>
        <v>0</v>
      </c>
      <c r="K18" s="1566">
        <f t="shared" si="8"/>
        <v>0</v>
      </c>
      <c r="L18" s="1566">
        <f t="shared" si="8"/>
        <v>0</v>
      </c>
      <c r="M18" s="1566">
        <f t="shared" si="8"/>
        <v>0</v>
      </c>
      <c r="N18" s="1566">
        <f t="shared" si="8"/>
        <v>0</v>
      </c>
      <c r="O18" s="1566">
        <f t="shared" si="8"/>
        <v>0</v>
      </c>
      <c r="P18" s="1566">
        <f t="shared" si="8"/>
        <v>0</v>
      </c>
      <c r="Q18" s="1566">
        <f t="shared" si="8"/>
        <v>0</v>
      </c>
      <c r="R18" s="1566">
        <f t="shared" si="8"/>
        <v>0</v>
      </c>
      <c r="S18" s="1584">
        <f t="shared" si="8"/>
        <v>0</v>
      </c>
    </row>
    <row r="19" spans="1:19">
      <c r="A19" s="183"/>
      <c r="B19" s="175"/>
      <c r="C19" s="175"/>
      <c r="D19" s="175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645"/>
    </row>
    <row r="20" spans="1:19">
      <c r="A20" s="183"/>
      <c r="B20" s="175" t="str">
        <f>'Income &amp; OpEx'!B21</f>
        <v>Net Rent Revenue</v>
      </c>
      <c r="C20" s="175"/>
      <c r="D20" s="175"/>
      <c r="E20" s="635">
        <f>E14-E18</f>
        <v>0</v>
      </c>
      <c r="F20" s="635">
        <f>F14-F18</f>
        <v>0</v>
      </c>
      <c r="G20" s="635">
        <f t="shared" ref="G20:S20" si="9">G14-G18</f>
        <v>0</v>
      </c>
      <c r="H20" s="635">
        <f t="shared" si="9"/>
        <v>0</v>
      </c>
      <c r="I20" s="635">
        <f t="shared" si="9"/>
        <v>0</v>
      </c>
      <c r="J20" s="635">
        <f t="shared" si="9"/>
        <v>0</v>
      </c>
      <c r="K20" s="635">
        <f t="shared" si="9"/>
        <v>0</v>
      </c>
      <c r="L20" s="635">
        <f t="shared" si="9"/>
        <v>0</v>
      </c>
      <c r="M20" s="635">
        <f t="shared" si="9"/>
        <v>0</v>
      </c>
      <c r="N20" s="635">
        <f t="shared" si="9"/>
        <v>0</v>
      </c>
      <c r="O20" s="635">
        <f t="shared" si="9"/>
        <v>0</v>
      </c>
      <c r="P20" s="635">
        <f t="shared" si="9"/>
        <v>0</v>
      </c>
      <c r="Q20" s="635">
        <f t="shared" si="9"/>
        <v>0</v>
      </c>
      <c r="R20" s="635">
        <f t="shared" si="9"/>
        <v>0</v>
      </c>
      <c r="S20" s="646">
        <f t="shared" si="9"/>
        <v>0</v>
      </c>
    </row>
    <row r="21" spans="1:19">
      <c r="A21" s="183"/>
      <c r="B21" s="175"/>
      <c r="C21" s="175"/>
      <c r="D21" s="175"/>
      <c r="E21" s="633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Q21" s="485"/>
      <c r="R21" s="485"/>
      <c r="S21" s="555"/>
    </row>
    <row r="22" spans="1:19">
      <c r="A22" s="183"/>
      <c r="B22" s="181" t="str">
        <f>'Income &amp; OpEx'!B24</f>
        <v>Financial Revenues</v>
      </c>
      <c r="C22" s="181"/>
      <c r="D22" s="181"/>
      <c r="E22" s="633"/>
      <c r="F22" s="485"/>
      <c r="G22" s="485"/>
      <c r="H22" s="485"/>
      <c r="I22" s="485"/>
      <c r="J22" s="485"/>
      <c r="K22" s="485"/>
      <c r="L22" s="485"/>
      <c r="M22" s="485"/>
      <c r="N22" s="485"/>
      <c r="O22" s="485"/>
      <c r="P22" s="485"/>
      <c r="Q22" s="485"/>
      <c r="R22" s="485"/>
      <c r="S22" s="555"/>
    </row>
    <row r="23" spans="1:19" hidden="1">
      <c r="A23" s="183">
        <f>'Income &amp; OpEx'!A25</f>
        <v>5410</v>
      </c>
      <c r="B23" s="186" t="str">
        <f>'Income &amp; OpEx'!B25</f>
        <v xml:space="preserve"> Interest Income (Checkbook)</v>
      </c>
      <c r="C23" s="186"/>
      <c r="D23" s="186"/>
      <c r="E23" s="567">
        <f>'Income &amp; OpEx'!O25</f>
        <v>0</v>
      </c>
      <c r="F23" s="500">
        <f t="shared" ref="F23:S23" si="10">E23*$J$154</f>
        <v>0</v>
      </c>
      <c r="G23" s="500">
        <f t="shared" si="10"/>
        <v>0</v>
      </c>
      <c r="H23" s="500">
        <f t="shared" si="10"/>
        <v>0</v>
      </c>
      <c r="I23" s="500">
        <f t="shared" si="10"/>
        <v>0</v>
      </c>
      <c r="J23" s="500">
        <f t="shared" si="10"/>
        <v>0</v>
      </c>
      <c r="K23" s="500">
        <f t="shared" si="10"/>
        <v>0</v>
      </c>
      <c r="L23" s="500">
        <f t="shared" si="10"/>
        <v>0</v>
      </c>
      <c r="M23" s="500">
        <f t="shared" si="10"/>
        <v>0</v>
      </c>
      <c r="N23" s="500">
        <f t="shared" si="10"/>
        <v>0</v>
      </c>
      <c r="O23" s="500">
        <f t="shared" si="10"/>
        <v>0</v>
      </c>
      <c r="P23" s="500">
        <f t="shared" si="10"/>
        <v>0</v>
      </c>
      <c r="Q23" s="500">
        <f t="shared" si="10"/>
        <v>0</v>
      </c>
      <c r="R23" s="500">
        <f t="shared" si="10"/>
        <v>0</v>
      </c>
      <c r="S23" s="563">
        <f t="shared" si="10"/>
        <v>0</v>
      </c>
    </row>
    <row r="24" spans="1:19" hidden="1">
      <c r="A24" s="183">
        <f>'Income &amp; OpEx'!A26</f>
        <v>5430</v>
      </c>
      <c r="B24" s="186" t="str">
        <f>'Income &amp; OpEx'!B26</f>
        <v xml:space="preserve"> Interest subsidy</v>
      </c>
      <c r="C24" s="186"/>
      <c r="D24" s="186"/>
      <c r="E24" s="567">
        <f>'Income &amp; OpEx'!O26</f>
        <v>0</v>
      </c>
      <c r="F24" s="500">
        <f t="shared" ref="F24:S24" si="11">E24*$J$154</f>
        <v>0</v>
      </c>
      <c r="G24" s="500">
        <f t="shared" si="11"/>
        <v>0</v>
      </c>
      <c r="H24" s="500">
        <f t="shared" si="11"/>
        <v>0</v>
      </c>
      <c r="I24" s="500">
        <f t="shared" si="11"/>
        <v>0</v>
      </c>
      <c r="J24" s="500">
        <f t="shared" si="11"/>
        <v>0</v>
      </c>
      <c r="K24" s="500">
        <f t="shared" si="11"/>
        <v>0</v>
      </c>
      <c r="L24" s="500">
        <f t="shared" si="11"/>
        <v>0</v>
      </c>
      <c r="M24" s="500">
        <f t="shared" si="11"/>
        <v>0</v>
      </c>
      <c r="N24" s="500">
        <f t="shared" si="11"/>
        <v>0</v>
      </c>
      <c r="O24" s="500">
        <f t="shared" si="11"/>
        <v>0</v>
      </c>
      <c r="P24" s="500">
        <f t="shared" si="11"/>
        <v>0</v>
      </c>
      <c r="Q24" s="500">
        <f t="shared" si="11"/>
        <v>0</v>
      </c>
      <c r="R24" s="500">
        <f t="shared" si="11"/>
        <v>0</v>
      </c>
      <c r="S24" s="563">
        <f t="shared" si="11"/>
        <v>0</v>
      </c>
    </row>
    <row r="25" spans="1:19" hidden="1">
      <c r="A25" s="183">
        <f>'Income &amp; OpEx'!A27</f>
        <v>5440</v>
      </c>
      <c r="B25" s="186" t="str">
        <f>'Income &amp; OpEx'!B27</f>
        <v xml:space="preserve"> Interest Income - Rep. Reserve</v>
      </c>
      <c r="C25" s="186"/>
      <c r="D25" s="186"/>
      <c r="E25" s="567">
        <f>'Income &amp; OpEx'!O27</f>
        <v>0</v>
      </c>
      <c r="F25" s="500">
        <f t="shared" ref="F25:S25" si="12">E25*$J$154</f>
        <v>0</v>
      </c>
      <c r="G25" s="500">
        <f t="shared" si="12"/>
        <v>0</v>
      </c>
      <c r="H25" s="500">
        <f t="shared" si="12"/>
        <v>0</v>
      </c>
      <c r="I25" s="500">
        <f t="shared" si="12"/>
        <v>0</v>
      </c>
      <c r="J25" s="500">
        <f t="shared" si="12"/>
        <v>0</v>
      </c>
      <c r="K25" s="500">
        <f t="shared" si="12"/>
        <v>0</v>
      </c>
      <c r="L25" s="500">
        <f t="shared" si="12"/>
        <v>0</v>
      </c>
      <c r="M25" s="500">
        <f t="shared" si="12"/>
        <v>0</v>
      </c>
      <c r="N25" s="500">
        <f t="shared" si="12"/>
        <v>0</v>
      </c>
      <c r="O25" s="500">
        <f t="shared" si="12"/>
        <v>0</v>
      </c>
      <c r="P25" s="500">
        <f t="shared" si="12"/>
        <v>0</v>
      </c>
      <c r="Q25" s="500">
        <f t="shared" si="12"/>
        <v>0</v>
      </c>
      <c r="R25" s="500">
        <f t="shared" si="12"/>
        <v>0</v>
      </c>
      <c r="S25" s="563">
        <f t="shared" si="12"/>
        <v>0</v>
      </c>
    </row>
    <row r="26" spans="1:19">
      <c r="A26" s="183">
        <f>'Income &amp; OpEx'!A28</f>
        <v>5490</v>
      </c>
      <c r="B26" s="186" t="str">
        <f>'Income &amp; OpEx'!B28</f>
        <v xml:space="preserve"> Interest Income - Investments</v>
      </c>
      <c r="C26" s="186"/>
      <c r="D26" s="186"/>
      <c r="E26" s="635">
        <f>'Income &amp; OpEx'!O28</f>
        <v>0</v>
      </c>
      <c r="F26" s="502">
        <f t="shared" ref="F26:S26" si="13">E26*$J$154</f>
        <v>0</v>
      </c>
      <c r="G26" s="502">
        <f t="shared" si="13"/>
        <v>0</v>
      </c>
      <c r="H26" s="502">
        <f t="shared" si="13"/>
        <v>0</v>
      </c>
      <c r="I26" s="502">
        <f t="shared" si="13"/>
        <v>0</v>
      </c>
      <c r="J26" s="502">
        <f t="shared" si="13"/>
        <v>0</v>
      </c>
      <c r="K26" s="502">
        <f t="shared" si="13"/>
        <v>0</v>
      </c>
      <c r="L26" s="502">
        <f t="shared" si="13"/>
        <v>0</v>
      </c>
      <c r="M26" s="502">
        <f t="shared" si="13"/>
        <v>0</v>
      </c>
      <c r="N26" s="502">
        <f t="shared" si="13"/>
        <v>0</v>
      </c>
      <c r="O26" s="502">
        <f t="shared" si="13"/>
        <v>0</v>
      </c>
      <c r="P26" s="502">
        <f t="shared" si="13"/>
        <v>0</v>
      </c>
      <c r="Q26" s="502">
        <f t="shared" si="13"/>
        <v>0</v>
      </c>
      <c r="R26" s="502">
        <f t="shared" si="13"/>
        <v>0</v>
      </c>
      <c r="S26" s="503">
        <f t="shared" si="13"/>
        <v>0</v>
      </c>
    </row>
    <row r="27" spans="1:19">
      <c r="A27" s="183"/>
      <c r="B27" s="175"/>
      <c r="C27" s="175"/>
      <c r="D27" s="175"/>
      <c r="E27" s="567">
        <f>SUM(E23:E26)</f>
        <v>0</v>
      </c>
      <c r="F27" s="567">
        <f t="shared" ref="F27:S27" si="14">SUM(F23:F26)</f>
        <v>0</v>
      </c>
      <c r="G27" s="567">
        <f t="shared" si="14"/>
        <v>0</v>
      </c>
      <c r="H27" s="567">
        <f t="shared" si="14"/>
        <v>0</v>
      </c>
      <c r="I27" s="567">
        <f t="shared" si="14"/>
        <v>0</v>
      </c>
      <c r="J27" s="567">
        <f t="shared" si="14"/>
        <v>0</v>
      </c>
      <c r="K27" s="567">
        <f t="shared" si="14"/>
        <v>0</v>
      </c>
      <c r="L27" s="567">
        <f t="shared" si="14"/>
        <v>0</v>
      </c>
      <c r="M27" s="567">
        <f t="shared" si="14"/>
        <v>0</v>
      </c>
      <c r="N27" s="567">
        <f t="shared" si="14"/>
        <v>0</v>
      </c>
      <c r="O27" s="567">
        <f t="shared" si="14"/>
        <v>0</v>
      </c>
      <c r="P27" s="567">
        <f t="shared" si="14"/>
        <v>0</v>
      </c>
      <c r="Q27" s="567">
        <f t="shared" si="14"/>
        <v>0</v>
      </c>
      <c r="R27" s="567">
        <f t="shared" si="14"/>
        <v>0</v>
      </c>
      <c r="S27" s="644">
        <f t="shared" si="14"/>
        <v>0</v>
      </c>
    </row>
    <row r="28" spans="1:19">
      <c r="A28" s="183"/>
      <c r="B28" s="175"/>
      <c r="C28" s="175"/>
      <c r="D28" s="175"/>
      <c r="E28" s="633"/>
      <c r="F28" s="485"/>
      <c r="G28" s="485"/>
      <c r="H28" s="485"/>
      <c r="I28" s="485"/>
      <c r="J28" s="485"/>
      <c r="K28" s="485"/>
      <c r="L28" s="485"/>
      <c r="M28" s="485"/>
      <c r="N28" s="485"/>
      <c r="O28" s="485"/>
      <c r="P28" s="485"/>
      <c r="Q28" s="485"/>
      <c r="R28" s="485"/>
      <c r="S28" s="555"/>
    </row>
    <row r="29" spans="1:19">
      <c r="A29" s="183"/>
      <c r="B29" s="181" t="str">
        <f>'Income &amp; OpEx'!B31</f>
        <v>Other Revenue</v>
      </c>
      <c r="C29" s="181"/>
      <c r="D29" s="181"/>
      <c r="E29" s="633"/>
      <c r="F29" s="485"/>
      <c r="G29" s="485"/>
      <c r="H29" s="485"/>
      <c r="I29" s="485"/>
      <c r="J29" s="485"/>
      <c r="K29" s="485"/>
      <c r="L29" s="485"/>
      <c r="M29" s="485"/>
      <c r="N29" s="485"/>
      <c r="O29" s="485"/>
      <c r="P29" s="485"/>
      <c r="Q29" s="485"/>
      <c r="R29" s="485"/>
      <c r="S29" s="555"/>
    </row>
    <row r="30" spans="1:19">
      <c r="A30" s="183">
        <f>'Income &amp; OpEx'!A32</f>
        <v>5910</v>
      </c>
      <c r="B30" s="186" t="str">
        <f>'Income &amp; OpEx'!B32</f>
        <v xml:space="preserve"> Laundry &amp; Vending Inc.</v>
      </c>
      <c r="C30" s="186"/>
      <c r="D30" s="186"/>
      <c r="E30" s="567">
        <f>'Income &amp; OpEx'!O32</f>
        <v>0</v>
      </c>
      <c r="F30" s="500">
        <f t="shared" ref="F30:S30" si="15">E30*$J$154</f>
        <v>0</v>
      </c>
      <c r="G30" s="500">
        <f t="shared" si="15"/>
        <v>0</v>
      </c>
      <c r="H30" s="500">
        <f t="shared" si="15"/>
        <v>0</v>
      </c>
      <c r="I30" s="500">
        <f t="shared" si="15"/>
        <v>0</v>
      </c>
      <c r="J30" s="500">
        <f t="shared" si="15"/>
        <v>0</v>
      </c>
      <c r="K30" s="500">
        <f t="shared" si="15"/>
        <v>0</v>
      </c>
      <c r="L30" s="500">
        <f t="shared" si="15"/>
        <v>0</v>
      </c>
      <c r="M30" s="500">
        <f t="shared" si="15"/>
        <v>0</v>
      </c>
      <c r="N30" s="500">
        <f t="shared" si="15"/>
        <v>0</v>
      </c>
      <c r="O30" s="500">
        <f t="shared" si="15"/>
        <v>0</v>
      </c>
      <c r="P30" s="500">
        <f t="shared" si="15"/>
        <v>0</v>
      </c>
      <c r="Q30" s="500">
        <f t="shared" si="15"/>
        <v>0</v>
      </c>
      <c r="R30" s="500">
        <f t="shared" si="15"/>
        <v>0</v>
      </c>
      <c r="S30" s="563">
        <f t="shared" si="15"/>
        <v>0</v>
      </c>
    </row>
    <row r="31" spans="1:19" hidden="1">
      <c r="A31" s="183">
        <f>'Income &amp; OpEx'!A33</f>
        <v>5920</v>
      </c>
      <c r="B31" s="186" t="str">
        <f>'Income &amp; OpEx'!B33</f>
        <v xml:space="preserve"> NSF &amp; Late Charges</v>
      </c>
      <c r="C31" s="186"/>
      <c r="D31" s="186"/>
      <c r="E31" s="567">
        <f>'Income &amp; OpEx'!O33</f>
        <v>0</v>
      </c>
      <c r="F31" s="500">
        <f t="shared" ref="F31:S31" si="16">E31*$J$154</f>
        <v>0</v>
      </c>
      <c r="G31" s="500">
        <f t="shared" si="16"/>
        <v>0</v>
      </c>
      <c r="H31" s="500">
        <f t="shared" si="16"/>
        <v>0</v>
      </c>
      <c r="I31" s="500">
        <f t="shared" si="16"/>
        <v>0</v>
      </c>
      <c r="J31" s="500">
        <f t="shared" si="16"/>
        <v>0</v>
      </c>
      <c r="K31" s="500">
        <f t="shared" si="16"/>
        <v>0</v>
      </c>
      <c r="L31" s="500">
        <f t="shared" si="16"/>
        <v>0</v>
      </c>
      <c r="M31" s="500">
        <f t="shared" si="16"/>
        <v>0</v>
      </c>
      <c r="N31" s="500">
        <f t="shared" si="16"/>
        <v>0</v>
      </c>
      <c r="O31" s="500">
        <f t="shared" si="16"/>
        <v>0</v>
      </c>
      <c r="P31" s="500">
        <f t="shared" si="16"/>
        <v>0</v>
      </c>
      <c r="Q31" s="500">
        <f t="shared" si="16"/>
        <v>0</v>
      </c>
      <c r="R31" s="500">
        <f t="shared" si="16"/>
        <v>0</v>
      </c>
      <c r="S31" s="563">
        <f t="shared" si="16"/>
        <v>0</v>
      </c>
    </row>
    <row r="32" spans="1:19" hidden="1">
      <c r="A32" s="183">
        <f>'Income &amp; OpEx'!A34</f>
        <v>5930</v>
      </c>
      <c r="B32" s="186" t="str">
        <f>'Income &amp; OpEx'!B34</f>
        <v xml:space="preserve"> Damages &amp; Cleaning Fees</v>
      </c>
      <c r="C32" s="186"/>
      <c r="D32" s="186"/>
      <c r="E32" s="567">
        <f>'Income &amp; OpEx'!O34</f>
        <v>0</v>
      </c>
      <c r="F32" s="500">
        <f t="shared" ref="F32:S32" si="17">E32*$J$154</f>
        <v>0</v>
      </c>
      <c r="G32" s="500">
        <f t="shared" si="17"/>
        <v>0</v>
      </c>
      <c r="H32" s="500">
        <f t="shared" si="17"/>
        <v>0</v>
      </c>
      <c r="I32" s="500">
        <f t="shared" si="17"/>
        <v>0</v>
      </c>
      <c r="J32" s="500">
        <f t="shared" si="17"/>
        <v>0</v>
      </c>
      <c r="K32" s="500">
        <f t="shared" si="17"/>
        <v>0</v>
      </c>
      <c r="L32" s="500">
        <f t="shared" si="17"/>
        <v>0</v>
      </c>
      <c r="M32" s="500">
        <f t="shared" si="17"/>
        <v>0</v>
      </c>
      <c r="N32" s="500">
        <f t="shared" si="17"/>
        <v>0</v>
      </c>
      <c r="O32" s="500">
        <f t="shared" si="17"/>
        <v>0</v>
      </c>
      <c r="P32" s="500">
        <f t="shared" si="17"/>
        <v>0</v>
      </c>
      <c r="Q32" s="500">
        <f t="shared" si="17"/>
        <v>0</v>
      </c>
      <c r="R32" s="500">
        <f t="shared" si="17"/>
        <v>0</v>
      </c>
      <c r="S32" s="563">
        <f t="shared" si="17"/>
        <v>0</v>
      </c>
    </row>
    <row r="33" spans="1:19">
      <c r="A33" s="183">
        <f>'Income &amp; OpEx'!A35</f>
        <v>5940</v>
      </c>
      <c r="B33" s="186" t="str">
        <f>'Income &amp; OpEx'!B35</f>
        <v xml:space="preserve"> Forfeited Tenant Deposit</v>
      </c>
      <c r="C33" s="186"/>
      <c r="D33" s="186"/>
      <c r="E33" s="567">
        <f>'Income &amp; OpEx'!O35</f>
        <v>0</v>
      </c>
      <c r="F33" s="500">
        <f t="shared" ref="F33:S33" si="18">E33*$J$154</f>
        <v>0</v>
      </c>
      <c r="G33" s="500">
        <f t="shared" si="18"/>
        <v>0</v>
      </c>
      <c r="H33" s="500">
        <f t="shared" si="18"/>
        <v>0</v>
      </c>
      <c r="I33" s="500">
        <f t="shared" si="18"/>
        <v>0</v>
      </c>
      <c r="J33" s="500">
        <f t="shared" si="18"/>
        <v>0</v>
      </c>
      <c r="K33" s="500">
        <f t="shared" si="18"/>
        <v>0</v>
      </c>
      <c r="L33" s="500">
        <f t="shared" si="18"/>
        <v>0</v>
      </c>
      <c r="M33" s="500">
        <f t="shared" si="18"/>
        <v>0</v>
      </c>
      <c r="N33" s="500">
        <f t="shared" si="18"/>
        <v>0</v>
      </c>
      <c r="O33" s="500">
        <f t="shared" si="18"/>
        <v>0</v>
      </c>
      <c r="P33" s="500">
        <f t="shared" si="18"/>
        <v>0</v>
      </c>
      <c r="Q33" s="500">
        <f t="shared" si="18"/>
        <v>0</v>
      </c>
      <c r="R33" s="500">
        <f t="shared" si="18"/>
        <v>0</v>
      </c>
      <c r="S33" s="563">
        <f t="shared" si="18"/>
        <v>0</v>
      </c>
    </row>
    <row r="34" spans="1:19" hidden="1">
      <c r="A34" s="183">
        <f>'Income &amp; OpEx'!A36</f>
        <v>5990</v>
      </c>
      <c r="B34" s="186" t="str">
        <f>'Income &amp; OpEx'!B36</f>
        <v xml:space="preserve"> Other Revenue </v>
      </c>
      <c r="C34" s="186"/>
      <c r="D34" s="186"/>
      <c r="E34" s="635">
        <f>'Income &amp; OpEx'!O36</f>
        <v>0</v>
      </c>
      <c r="F34" s="502">
        <f t="shared" ref="F34:S34" si="19">E34*$J$154</f>
        <v>0</v>
      </c>
      <c r="G34" s="502">
        <f t="shared" si="19"/>
        <v>0</v>
      </c>
      <c r="H34" s="502">
        <f t="shared" si="19"/>
        <v>0</v>
      </c>
      <c r="I34" s="502">
        <f t="shared" si="19"/>
        <v>0</v>
      </c>
      <c r="J34" s="502">
        <f t="shared" si="19"/>
        <v>0</v>
      </c>
      <c r="K34" s="502">
        <f t="shared" si="19"/>
        <v>0</v>
      </c>
      <c r="L34" s="502">
        <f t="shared" si="19"/>
        <v>0</v>
      </c>
      <c r="M34" s="502">
        <f t="shared" si="19"/>
        <v>0</v>
      </c>
      <c r="N34" s="502">
        <f t="shared" si="19"/>
        <v>0</v>
      </c>
      <c r="O34" s="502">
        <f t="shared" si="19"/>
        <v>0</v>
      </c>
      <c r="P34" s="502">
        <f t="shared" si="19"/>
        <v>0</v>
      </c>
      <c r="Q34" s="502">
        <f t="shared" si="19"/>
        <v>0</v>
      </c>
      <c r="R34" s="502">
        <f t="shared" si="19"/>
        <v>0</v>
      </c>
      <c r="S34" s="503">
        <f t="shared" si="19"/>
        <v>0</v>
      </c>
    </row>
    <row r="35" spans="1:19">
      <c r="A35" s="183"/>
      <c r="B35" s="175"/>
      <c r="C35" s="175"/>
      <c r="D35" s="175"/>
      <c r="E35" s="1566">
        <f>SUM(E30:E34)</f>
        <v>0</v>
      </c>
      <c r="F35" s="1566">
        <f t="shared" ref="F35:S35" si="20">SUM(F30:F34)</f>
        <v>0</v>
      </c>
      <c r="G35" s="1566">
        <f t="shared" si="20"/>
        <v>0</v>
      </c>
      <c r="H35" s="1566">
        <f t="shared" si="20"/>
        <v>0</v>
      </c>
      <c r="I35" s="1566">
        <f t="shared" si="20"/>
        <v>0</v>
      </c>
      <c r="J35" s="1566">
        <f t="shared" si="20"/>
        <v>0</v>
      </c>
      <c r="K35" s="1566">
        <f t="shared" si="20"/>
        <v>0</v>
      </c>
      <c r="L35" s="1566">
        <f t="shared" si="20"/>
        <v>0</v>
      </c>
      <c r="M35" s="1566">
        <f t="shared" si="20"/>
        <v>0</v>
      </c>
      <c r="N35" s="1566">
        <f t="shared" si="20"/>
        <v>0</v>
      </c>
      <c r="O35" s="1566">
        <f t="shared" si="20"/>
        <v>0</v>
      </c>
      <c r="P35" s="1566">
        <f t="shared" si="20"/>
        <v>0</v>
      </c>
      <c r="Q35" s="1566">
        <f t="shared" si="20"/>
        <v>0</v>
      </c>
      <c r="R35" s="1566">
        <f t="shared" si="20"/>
        <v>0</v>
      </c>
      <c r="S35" s="1584">
        <f t="shared" si="20"/>
        <v>0</v>
      </c>
    </row>
    <row r="36" spans="1:19">
      <c r="A36" s="183"/>
      <c r="B36" s="175"/>
      <c r="C36" s="175"/>
      <c r="D36" s="175"/>
      <c r="E36" s="633"/>
      <c r="F36" s="485"/>
      <c r="G36" s="485"/>
      <c r="H36" s="485"/>
      <c r="I36" s="485"/>
      <c r="J36" s="485"/>
      <c r="K36" s="485"/>
      <c r="L36" s="485"/>
      <c r="M36" s="485"/>
      <c r="N36" s="485"/>
      <c r="O36" s="485"/>
      <c r="P36" s="485"/>
      <c r="Q36" s="485"/>
      <c r="R36" s="485"/>
      <c r="S36" s="555"/>
    </row>
    <row r="37" spans="1:19">
      <c r="A37" s="183"/>
      <c r="B37" s="189" t="str">
        <f>'Income &amp; OpEx'!B40</f>
        <v>Total Revenue</v>
      </c>
      <c r="C37" s="189"/>
      <c r="D37" s="189"/>
      <c r="E37" s="566">
        <f>E35+E27+E20</f>
        <v>0</v>
      </c>
      <c r="F37" s="566">
        <f t="shared" ref="F37:S37" si="21">F35+F27+F20</f>
        <v>0</v>
      </c>
      <c r="G37" s="566">
        <f t="shared" si="21"/>
        <v>0</v>
      </c>
      <c r="H37" s="566">
        <f t="shared" si="21"/>
        <v>0</v>
      </c>
      <c r="I37" s="566">
        <f t="shared" si="21"/>
        <v>0</v>
      </c>
      <c r="J37" s="566">
        <f t="shared" si="21"/>
        <v>0</v>
      </c>
      <c r="K37" s="566">
        <f t="shared" si="21"/>
        <v>0</v>
      </c>
      <c r="L37" s="566">
        <f t="shared" si="21"/>
        <v>0</v>
      </c>
      <c r="M37" s="566">
        <f t="shared" si="21"/>
        <v>0</v>
      </c>
      <c r="N37" s="566">
        <f t="shared" si="21"/>
        <v>0</v>
      </c>
      <c r="O37" s="566">
        <f t="shared" si="21"/>
        <v>0</v>
      </c>
      <c r="P37" s="566">
        <f t="shared" si="21"/>
        <v>0</v>
      </c>
      <c r="Q37" s="566">
        <f t="shared" si="21"/>
        <v>0</v>
      </c>
      <c r="R37" s="566">
        <f t="shared" si="21"/>
        <v>0</v>
      </c>
      <c r="S37" s="647">
        <f t="shared" si="21"/>
        <v>0</v>
      </c>
    </row>
    <row r="38" spans="1:19">
      <c r="A38" s="183"/>
      <c r="B38" s="175"/>
      <c r="C38" s="175"/>
      <c r="D38" s="175"/>
      <c r="E38" s="176"/>
      <c r="S38" s="140"/>
    </row>
    <row r="39" spans="1:19">
      <c r="A39" s="183"/>
      <c r="B39" s="181" t="str">
        <f>'Income &amp; OpEx'!B42</f>
        <v>Expenses:</v>
      </c>
      <c r="C39" s="181"/>
      <c r="D39" s="181"/>
      <c r="E39" s="176"/>
      <c r="S39" s="140"/>
    </row>
    <row r="40" spans="1:19">
      <c r="A40" s="183"/>
      <c r="B40" s="181" t="str">
        <f>'Income &amp; OpEx'!B43</f>
        <v>Administrative Expenses</v>
      </c>
      <c r="C40" s="181"/>
      <c r="D40" s="181"/>
      <c r="E40" s="176"/>
      <c r="S40" s="140"/>
    </row>
    <row r="41" spans="1:19" hidden="1">
      <c r="A41" s="183">
        <f>'Income &amp; OpEx'!A44</f>
        <v>6203</v>
      </c>
      <c r="B41" s="186" t="str">
        <f>'Income &amp; OpEx'!B44</f>
        <v xml:space="preserve"> Conventions &amp; Meeting</v>
      </c>
      <c r="C41" s="186"/>
      <c r="D41" s="186"/>
      <c r="E41" s="567">
        <f>'Income &amp; OpEx'!O44</f>
        <v>0</v>
      </c>
      <c r="F41" s="500">
        <f t="shared" ref="F41:S41" si="22">+E41*$M$154</f>
        <v>0</v>
      </c>
      <c r="G41" s="500">
        <f t="shared" si="22"/>
        <v>0</v>
      </c>
      <c r="H41" s="500">
        <f t="shared" si="22"/>
        <v>0</v>
      </c>
      <c r="I41" s="500">
        <f t="shared" si="22"/>
        <v>0</v>
      </c>
      <c r="J41" s="500">
        <f t="shared" si="22"/>
        <v>0</v>
      </c>
      <c r="K41" s="500">
        <f t="shared" si="22"/>
        <v>0</v>
      </c>
      <c r="L41" s="500">
        <f t="shared" si="22"/>
        <v>0</v>
      </c>
      <c r="M41" s="500">
        <f t="shared" si="22"/>
        <v>0</v>
      </c>
      <c r="N41" s="500">
        <f t="shared" si="22"/>
        <v>0</v>
      </c>
      <c r="O41" s="500">
        <f t="shared" si="22"/>
        <v>0</v>
      </c>
      <c r="P41" s="500">
        <f t="shared" si="22"/>
        <v>0</v>
      </c>
      <c r="Q41" s="500">
        <f t="shared" si="22"/>
        <v>0</v>
      </c>
      <c r="R41" s="500">
        <f t="shared" si="22"/>
        <v>0</v>
      </c>
      <c r="S41" s="563">
        <f t="shared" si="22"/>
        <v>0</v>
      </c>
    </row>
    <row r="42" spans="1:19" hidden="1">
      <c r="A42" s="183">
        <f>'Income &amp; OpEx'!A45</f>
        <v>6204</v>
      </c>
      <c r="B42" s="186" t="str">
        <f>'Income &amp; OpEx'!B45</f>
        <v xml:space="preserve"> Management Consultants</v>
      </c>
      <c r="C42" s="186"/>
      <c r="D42" s="186"/>
      <c r="E42" s="567">
        <f>'Income &amp; OpEx'!O45</f>
        <v>0</v>
      </c>
      <c r="F42" s="500">
        <f t="shared" ref="F42:S42" si="23">+E42*$M$154</f>
        <v>0</v>
      </c>
      <c r="G42" s="500">
        <f t="shared" si="23"/>
        <v>0</v>
      </c>
      <c r="H42" s="500">
        <f t="shared" si="23"/>
        <v>0</v>
      </c>
      <c r="I42" s="500">
        <f t="shared" si="23"/>
        <v>0</v>
      </c>
      <c r="J42" s="500">
        <f t="shared" si="23"/>
        <v>0</v>
      </c>
      <c r="K42" s="500">
        <f t="shared" si="23"/>
        <v>0</v>
      </c>
      <c r="L42" s="500">
        <f t="shared" si="23"/>
        <v>0</v>
      </c>
      <c r="M42" s="500">
        <f t="shared" si="23"/>
        <v>0</v>
      </c>
      <c r="N42" s="500">
        <f t="shared" si="23"/>
        <v>0</v>
      </c>
      <c r="O42" s="500">
        <f t="shared" si="23"/>
        <v>0</v>
      </c>
      <c r="P42" s="500">
        <f t="shared" si="23"/>
        <v>0</v>
      </c>
      <c r="Q42" s="500">
        <f t="shared" si="23"/>
        <v>0</v>
      </c>
      <c r="R42" s="500">
        <f t="shared" si="23"/>
        <v>0</v>
      </c>
      <c r="S42" s="563">
        <f t="shared" si="23"/>
        <v>0</v>
      </c>
    </row>
    <row r="43" spans="1:19">
      <c r="A43" s="183">
        <f>'Income &amp; OpEx'!A46</f>
        <v>6210</v>
      </c>
      <c r="B43" s="186" t="str">
        <f>'Income &amp; OpEx'!B46</f>
        <v xml:space="preserve"> Advertising</v>
      </c>
      <c r="C43" s="186"/>
      <c r="D43" s="186"/>
      <c r="E43" s="567">
        <f>'Income &amp; OpEx'!O46</f>
        <v>0</v>
      </c>
      <c r="F43" s="500">
        <f t="shared" ref="F43:S43" si="24">+E43*$M$154</f>
        <v>0</v>
      </c>
      <c r="G43" s="500">
        <f t="shared" si="24"/>
        <v>0</v>
      </c>
      <c r="H43" s="500">
        <f t="shared" si="24"/>
        <v>0</v>
      </c>
      <c r="I43" s="500">
        <f t="shared" si="24"/>
        <v>0</v>
      </c>
      <c r="J43" s="500">
        <f t="shared" si="24"/>
        <v>0</v>
      </c>
      <c r="K43" s="500">
        <f t="shared" si="24"/>
        <v>0</v>
      </c>
      <c r="L43" s="500">
        <f t="shared" si="24"/>
        <v>0</v>
      </c>
      <c r="M43" s="500">
        <f t="shared" si="24"/>
        <v>0</v>
      </c>
      <c r="N43" s="500">
        <f t="shared" si="24"/>
        <v>0</v>
      </c>
      <c r="O43" s="500">
        <f t="shared" si="24"/>
        <v>0</v>
      </c>
      <c r="P43" s="500">
        <f t="shared" si="24"/>
        <v>0</v>
      </c>
      <c r="Q43" s="500">
        <f t="shared" si="24"/>
        <v>0</v>
      </c>
      <c r="R43" s="500">
        <f t="shared" si="24"/>
        <v>0</v>
      </c>
      <c r="S43" s="563">
        <f t="shared" si="24"/>
        <v>0</v>
      </c>
    </row>
    <row r="44" spans="1:19" hidden="1">
      <c r="A44" s="183">
        <f>'Income &amp; OpEx'!A47</f>
        <v>6235</v>
      </c>
      <c r="B44" s="186" t="str">
        <f>'Income &amp; OpEx'!B47</f>
        <v xml:space="preserve"> Eviction/Moving Costs</v>
      </c>
      <c r="C44" s="186"/>
      <c r="D44" s="186"/>
      <c r="E44" s="567">
        <f>'Income &amp; OpEx'!O47</f>
        <v>0</v>
      </c>
      <c r="F44" s="500">
        <f t="shared" ref="F44:S44" si="25">+E44*$M$154</f>
        <v>0</v>
      </c>
      <c r="G44" s="500">
        <f t="shared" si="25"/>
        <v>0</v>
      </c>
      <c r="H44" s="500">
        <f t="shared" si="25"/>
        <v>0</v>
      </c>
      <c r="I44" s="500">
        <f t="shared" si="25"/>
        <v>0</v>
      </c>
      <c r="J44" s="500">
        <f t="shared" si="25"/>
        <v>0</v>
      </c>
      <c r="K44" s="500">
        <f t="shared" si="25"/>
        <v>0</v>
      </c>
      <c r="L44" s="500">
        <f t="shared" si="25"/>
        <v>0</v>
      </c>
      <c r="M44" s="500">
        <f t="shared" si="25"/>
        <v>0</v>
      </c>
      <c r="N44" s="500">
        <f t="shared" si="25"/>
        <v>0</v>
      </c>
      <c r="O44" s="500">
        <f t="shared" si="25"/>
        <v>0</v>
      </c>
      <c r="P44" s="500">
        <f t="shared" si="25"/>
        <v>0</v>
      </c>
      <c r="Q44" s="500">
        <f t="shared" si="25"/>
        <v>0</v>
      </c>
      <c r="R44" s="500">
        <f t="shared" si="25"/>
        <v>0</v>
      </c>
      <c r="S44" s="563">
        <f t="shared" si="25"/>
        <v>0</v>
      </c>
    </row>
    <row r="45" spans="1:19" hidden="1">
      <c r="A45" s="183">
        <f>'Income &amp; OpEx'!A48</f>
        <v>6250</v>
      </c>
      <c r="B45" s="186" t="str">
        <f>'Income &amp; OpEx'!B48</f>
        <v xml:space="preserve"> Other Renting/Screening Exp</v>
      </c>
      <c r="C45" s="186"/>
      <c r="D45" s="186"/>
      <c r="E45" s="567">
        <f>'Income &amp; OpEx'!O48</f>
        <v>0</v>
      </c>
      <c r="F45" s="500">
        <f t="shared" ref="F45:S45" si="26">+E45*$M$154</f>
        <v>0</v>
      </c>
      <c r="G45" s="500">
        <f t="shared" si="26"/>
        <v>0</v>
      </c>
      <c r="H45" s="500">
        <f t="shared" si="26"/>
        <v>0</v>
      </c>
      <c r="I45" s="500">
        <f t="shared" si="26"/>
        <v>0</v>
      </c>
      <c r="J45" s="500">
        <f t="shared" si="26"/>
        <v>0</v>
      </c>
      <c r="K45" s="500">
        <f t="shared" si="26"/>
        <v>0</v>
      </c>
      <c r="L45" s="500">
        <f t="shared" si="26"/>
        <v>0</v>
      </c>
      <c r="M45" s="500">
        <f t="shared" si="26"/>
        <v>0</v>
      </c>
      <c r="N45" s="500">
        <f t="shared" si="26"/>
        <v>0</v>
      </c>
      <c r="O45" s="500">
        <f t="shared" si="26"/>
        <v>0</v>
      </c>
      <c r="P45" s="500">
        <f t="shared" si="26"/>
        <v>0</v>
      </c>
      <c r="Q45" s="500">
        <f t="shared" si="26"/>
        <v>0</v>
      </c>
      <c r="R45" s="500">
        <f t="shared" si="26"/>
        <v>0</v>
      </c>
      <c r="S45" s="563">
        <f t="shared" si="26"/>
        <v>0</v>
      </c>
    </row>
    <row r="46" spans="1:19" hidden="1">
      <c r="A46" s="183">
        <f>'Income &amp; OpEx'!A49</f>
        <v>6310</v>
      </c>
      <c r="B46" s="186" t="str">
        <f>'Income &amp; OpEx'!B49</f>
        <v xml:space="preserve"> Office/Leasing Salaries</v>
      </c>
      <c r="C46" s="186"/>
      <c r="D46" s="186"/>
      <c r="E46" s="567">
        <f>'Income &amp; OpEx'!O49</f>
        <v>0</v>
      </c>
      <c r="F46" s="500">
        <f t="shared" ref="F46:S46" si="27">+E46*$M$154</f>
        <v>0</v>
      </c>
      <c r="G46" s="500">
        <f t="shared" si="27"/>
        <v>0</v>
      </c>
      <c r="H46" s="500">
        <f t="shared" si="27"/>
        <v>0</v>
      </c>
      <c r="I46" s="500">
        <f t="shared" si="27"/>
        <v>0</v>
      </c>
      <c r="J46" s="500">
        <f t="shared" si="27"/>
        <v>0</v>
      </c>
      <c r="K46" s="500">
        <f t="shared" si="27"/>
        <v>0</v>
      </c>
      <c r="L46" s="500">
        <f t="shared" si="27"/>
        <v>0</v>
      </c>
      <c r="M46" s="500">
        <f t="shared" si="27"/>
        <v>0</v>
      </c>
      <c r="N46" s="500">
        <f t="shared" si="27"/>
        <v>0</v>
      </c>
      <c r="O46" s="500">
        <f t="shared" si="27"/>
        <v>0</v>
      </c>
      <c r="P46" s="500">
        <f t="shared" si="27"/>
        <v>0</v>
      </c>
      <c r="Q46" s="500">
        <f t="shared" si="27"/>
        <v>0</v>
      </c>
      <c r="R46" s="500">
        <f t="shared" si="27"/>
        <v>0</v>
      </c>
      <c r="S46" s="563">
        <f t="shared" si="27"/>
        <v>0</v>
      </c>
    </row>
    <row r="47" spans="1:19">
      <c r="A47" s="183">
        <f>'Income &amp; OpEx'!A50</f>
        <v>6311</v>
      </c>
      <c r="B47" s="186" t="str">
        <f>'Income &amp; OpEx'!B50</f>
        <v xml:space="preserve"> Office Expenses</v>
      </c>
      <c r="C47" s="186"/>
      <c r="D47" s="186"/>
      <c r="E47" s="567">
        <f>'Income &amp; OpEx'!O50</f>
        <v>0</v>
      </c>
      <c r="F47" s="500">
        <f t="shared" ref="F47:S47" si="28">+E47*$M$154</f>
        <v>0</v>
      </c>
      <c r="G47" s="500">
        <f t="shared" si="28"/>
        <v>0</v>
      </c>
      <c r="H47" s="500">
        <f t="shared" si="28"/>
        <v>0</v>
      </c>
      <c r="I47" s="500">
        <f t="shared" si="28"/>
        <v>0</v>
      </c>
      <c r="J47" s="500">
        <f t="shared" si="28"/>
        <v>0</v>
      </c>
      <c r="K47" s="500">
        <f t="shared" si="28"/>
        <v>0</v>
      </c>
      <c r="L47" s="500">
        <f t="shared" si="28"/>
        <v>0</v>
      </c>
      <c r="M47" s="500">
        <f t="shared" si="28"/>
        <v>0</v>
      </c>
      <c r="N47" s="500">
        <f t="shared" si="28"/>
        <v>0</v>
      </c>
      <c r="O47" s="500">
        <f t="shared" si="28"/>
        <v>0</v>
      </c>
      <c r="P47" s="500">
        <f t="shared" si="28"/>
        <v>0</v>
      </c>
      <c r="Q47" s="500">
        <f t="shared" si="28"/>
        <v>0</v>
      </c>
      <c r="R47" s="500">
        <f t="shared" si="28"/>
        <v>0</v>
      </c>
      <c r="S47" s="563">
        <f t="shared" si="28"/>
        <v>0</v>
      </c>
    </row>
    <row r="48" spans="1:19" hidden="1">
      <c r="A48" s="183">
        <f>'Income &amp; OpEx'!A51</f>
        <v>6312</v>
      </c>
      <c r="B48" s="186" t="str">
        <f>'Income &amp; OpEx'!B51</f>
        <v xml:space="preserve"> Model Apartment</v>
      </c>
      <c r="C48" s="186"/>
      <c r="D48" s="186"/>
      <c r="E48" s="567">
        <f>'Income &amp; OpEx'!O51</f>
        <v>0</v>
      </c>
      <c r="F48" s="500">
        <f t="shared" ref="F48:S48" si="29">+E48*$M$154</f>
        <v>0</v>
      </c>
      <c r="G48" s="500">
        <f t="shared" si="29"/>
        <v>0</v>
      </c>
      <c r="H48" s="500">
        <f t="shared" si="29"/>
        <v>0</v>
      </c>
      <c r="I48" s="500">
        <f t="shared" si="29"/>
        <v>0</v>
      </c>
      <c r="J48" s="500">
        <f t="shared" si="29"/>
        <v>0</v>
      </c>
      <c r="K48" s="500">
        <f t="shared" si="29"/>
        <v>0</v>
      </c>
      <c r="L48" s="500">
        <f t="shared" si="29"/>
        <v>0</v>
      </c>
      <c r="M48" s="500">
        <f t="shared" si="29"/>
        <v>0</v>
      </c>
      <c r="N48" s="500">
        <f t="shared" si="29"/>
        <v>0</v>
      </c>
      <c r="O48" s="500">
        <f t="shared" si="29"/>
        <v>0</v>
      </c>
      <c r="P48" s="500">
        <f t="shared" si="29"/>
        <v>0</v>
      </c>
      <c r="Q48" s="500">
        <f t="shared" si="29"/>
        <v>0</v>
      </c>
      <c r="R48" s="500">
        <f t="shared" si="29"/>
        <v>0</v>
      </c>
      <c r="S48" s="563">
        <f t="shared" si="29"/>
        <v>0</v>
      </c>
    </row>
    <row r="49" spans="1:21">
      <c r="A49" s="183">
        <f>'Income &amp; OpEx'!A52</f>
        <v>6320</v>
      </c>
      <c r="B49" s="186" t="str">
        <f>'Income &amp; OpEx'!B52</f>
        <v>Management Fee (4.50%)</v>
      </c>
      <c r="C49" s="186"/>
      <c r="D49" s="186"/>
      <c r="E49" s="567">
        <f>'Income &amp; OpEx'!M52</f>
        <v>0</v>
      </c>
      <c r="F49" s="567">
        <f>E49*$M$154</f>
        <v>0</v>
      </c>
      <c r="G49" s="567">
        <f t="shared" ref="G49:S49" si="30">F49*$M$154</f>
        <v>0</v>
      </c>
      <c r="H49" s="567">
        <f t="shared" si="30"/>
        <v>0</v>
      </c>
      <c r="I49" s="567">
        <f t="shared" si="30"/>
        <v>0</v>
      </c>
      <c r="J49" s="567">
        <f t="shared" si="30"/>
        <v>0</v>
      </c>
      <c r="K49" s="567">
        <f t="shared" si="30"/>
        <v>0</v>
      </c>
      <c r="L49" s="567">
        <f t="shared" si="30"/>
        <v>0</v>
      </c>
      <c r="M49" s="567">
        <f t="shared" si="30"/>
        <v>0</v>
      </c>
      <c r="N49" s="567">
        <f t="shared" si="30"/>
        <v>0</v>
      </c>
      <c r="O49" s="567">
        <f t="shared" si="30"/>
        <v>0</v>
      </c>
      <c r="P49" s="567">
        <f t="shared" si="30"/>
        <v>0</v>
      </c>
      <c r="Q49" s="567">
        <f t="shared" si="30"/>
        <v>0</v>
      </c>
      <c r="R49" s="567">
        <f t="shared" si="30"/>
        <v>0</v>
      </c>
      <c r="S49" s="567">
        <f t="shared" si="30"/>
        <v>0</v>
      </c>
    </row>
    <row r="50" spans="1:21" hidden="1">
      <c r="A50" s="183"/>
      <c r="B50" s="186" t="str">
        <f>'Income &amp; OpEx'!B53</f>
        <v xml:space="preserve"> Management Fee CAM</v>
      </c>
      <c r="C50" s="186"/>
      <c r="D50" s="186"/>
      <c r="E50" s="567">
        <f>'Income &amp; OpEx'!O53</f>
        <v>0</v>
      </c>
      <c r="F50" s="500">
        <f t="shared" ref="F50:S50" si="31">+E50*$M$154</f>
        <v>0</v>
      </c>
      <c r="G50" s="500">
        <f t="shared" si="31"/>
        <v>0</v>
      </c>
      <c r="H50" s="500">
        <f t="shared" si="31"/>
        <v>0</v>
      </c>
      <c r="I50" s="500">
        <f t="shared" si="31"/>
        <v>0</v>
      </c>
      <c r="J50" s="500">
        <f t="shared" si="31"/>
        <v>0</v>
      </c>
      <c r="K50" s="500">
        <f t="shared" si="31"/>
        <v>0</v>
      </c>
      <c r="L50" s="500">
        <f t="shared" si="31"/>
        <v>0</v>
      </c>
      <c r="M50" s="500">
        <f t="shared" si="31"/>
        <v>0</v>
      </c>
      <c r="N50" s="500">
        <f t="shared" si="31"/>
        <v>0</v>
      </c>
      <c r="O50" s="500">
        <f t="shared" si="31"/>
        <v>0</v>
      </c>
      <c r="P50" s="500">
        <f t="shared" si="31"/>
        <v>0</v>
      </c>
      <c r="Q50" s="500">
        <f t="shared" si="31"/>
        <v>0</v>
      </c>
      <c r="R50" s="500">
        <f t="shared" si="31"/>
        <v>0</v>
      </c>
      <c r="S50" s="563">
        <f t="shared" si="31"/>
        <v>0</v>
      </c>
    </row>
    <row r="51" spans="1:21" hidden="1">
      <c r="A51" s="183">
        <f>'Income &amp; OpEx'!A54</f>
        <v>6321</v>
      </c>
      <c r="B51" s="186" t="str">
        <f>'Income &amp; OpEx'!B54</f>
        <v xml:space="preserve"> Innovative Housing </v>
      </c>
      <c r="C51" s="186"/>
      <c r="D51" s="186"/>
      <c r="E51" s="567">
        <f>'Income &amp; OpEx'!O54</f>
        <v>0</v>
      </c>
      <c r="F51" s="500">
        <f t="shared" ref="F51:S51" si="32">+E51*$M$154</f>
        <v>0</v>
      </c>
      <c r="G51" s="500">
        <f t="shared" si="32"/>
        <v>0</v>
      </c>
      <c r="H51" s="500">
        <f t="shared" si="32"/>
        <v>0</v>
      </c>
      <c r="I51" s="500">
        <f t="shared" si="32"/>
        <v>0</v>
      </c>
      <c r="J51" s="500">
        <f t="shared" si="32"/>
        <v>0</v>
      </c>
      <c r="K51" s="500">
        <f t="shared" si="32"/>
        <v>0</v>
      </c>
      <c r="L51" s="500">
        <f t="shared" si="32"/>
        <v>0</v>
      </c>
      <c r="M51" s="500">
        <f t="shared" si="32"/>
        <v>0</v>
      </c>
      <c r="N51" s="500">
        <f t="shared" si="32"/>
        <v>0</v>
      </c>
      <c r="O51" s="500">
        <f t="shared" si="32"/>
        <v>0</v>
      </c>
      <c r="P51" s="500">
        <f t="shared" si="32"/>
        <v>0</v>
      </c>
      <c r="Q51" s="500">
        <f t="shared" si="32"/>
        <v>0</v>
      </c>
      <c r="R51" s="500">
        <f t="shared" si="32"/>
        <v>0</v>
      </c>
      <c r="S51" s="563">
        <f t="shared" si="32"/>
        <v>0</v>
      </c>
    </row>
    <row r="52" spans="1:21">
      <c r="A52" s="183">
        <f>'Income &amp; OpEx'!A55</f>
        <v>6330</v>
      </c>
      <c r="B52" s="186" t="str">
        <f>'Income &amp; OpEx'!B55</f>
        <v xml:space="preserve"> Manager Salaries</v>
      </c>
      <c r="C52" s="186"/>
      <c r="D52" s="186"/>
      <c r="E52" s="567">
        <f>'Income &amp; OpEx'!O55</f>
        <v>0</v>
      </c>
      <c r="F52" s="500">
        <f t="shared" ref="F52:S52" si="33">+E52*$M$154</f>
        <v>0</v>
      </c>
      <c r="G52" s="500">
        <f t="shared" si="33"/>
        <v>0</v>
      </c>
      <c r="H52" s="500">
        <f t="shared" si="33"/>
        <v>0</v>
      </c>
      <c r="I52" s="500">
        <f t="shared" si="33"/>
        <v>0</v>
      </c>
      <c r="J52" s="500">
        <f t="shared" si="33"/>
        <v>0</v>
      </c>
      <c r="K52" s="500">
        <f t="shared" si="33"/>
        <v>0</v>
      </c>
      <c r="L52" s="500">
        <f t="shared" si="33"/>
        <v>0</v>
      </c>
      <c r="M52" s="500">
        <f t="shared" si="33"/>
        <v>0</v>
      </c>
      <c r="N52" s="500">
        <f t="shared" si="33"/>
        <v>0</v>
      </c>
      <c r="O52" s="500">
        <f t="shared" si="33"/>
        <v>0</v>
      </c>
      <c r="P52" s="500">
        <f t="shared" si="33"/>
        <v>0</v>
      </c>
      <c r="Q52" s="500">
        <f t="shared" si="33"/>
        <v>0</v>
      </c>
      <c r="R52" s="500">
        <f t="shared" si="33"/>
        <v>0</v>
      </c>
      <c r="S52" s="563">
        <f t="shared" si="33"/>
        <v>0</v>
      </c>
    </row>
    <row r="53" spans="1:21" hidden="1">
      <c r="A53" s="183">
        <f>'Income &amp; OpEx'!A56</f>
        <v>6331</v>
      </c>
      <c r="B53" s="186" t="str">
        <f>'Income &amp; OpEx'!B56</f>
        <v xml:space="preserve"> Employee rent free unit</v>
      </c>
      <c r="C53" s="186"/>
      <c r="D53" s="186"/>
      <c r="E53" s="567">
        <f>'Income &amp; OpEx'!O56</f>
        <v>0</v>
      </c>
      <c r="F53" s="500">
        <f t="shared" ref="F53:S53" si="34">+E53*$M$154</f>
        <v>0</v>
      </c>
      <c r="G53" s="500">
        <f t="shared" si="34"/>
        <v>0</v>
      </c>
      <c r="H53" s="500">
        <f t="shared" si="34"/>
        <v>0</v>
      </c>
      <c r="I53" s="500">
        <f t="shared" si="34"/>
        <v>0</v>
      </c>
      <c r="J53" s="500">
        <f t="shared" si="34"/>
        <v>0</v>
      </c>
      <c r="K53" s="500">
        <f t="shared" si="34"/>
        <v>0</v>
      </c>
      <c r="L53" s="500">
        <f t="shared" si="34"/>
        <v>0</v>
      </c>
      <c r="M53" s="500">
        <f t="shared" si="34"/>
        <v>0</v>
      </c>
      <c r="N53" s="500">
        <f t="shared" si="34"/>
        <v>0</v>
      </c>
      <c r="O53" s="500">
        <f t="shared" si="34"/>
        <v>0</v>
      </c>
      <c r="P53" s="500">
        <f t="shared" si="34"/>
        <v>0</v>
      </c>
      <c r="Q53" s="500">
        <f t="shared" si="34"/>
        <v>0</v>
      </c>
      <c r="R53" s="500">
        <f t="shared" si="34"/>
        <v>0</v>
      </c>
      <c r="S53" s="563">
        <f t="shared" si="34"/>
        <v>0</v>
      </c>
    </row>
    <row r="54" spans="1:21">
      <c r="A54" s="183">
        <f>'Income &amp; OpEx'!A57</f>
        <v>6340</v>
      </c>
      <c r="B54" s="186" t="str">
        <f>'Income &amp; OpEx'!B57</f>
        <v xml:space="preserve"> Legal Expense</v>
      </c>
      <c r="C54" s="186"/>
      <c r="D54" s="186"/>
      <c r="E54" s="567">
        <f>'Income &amp; OpEx'!O57</f>
        <v>0</v>
      </c>
      <c r="F54" s="500">
        <f t="shared" ref="F54:S54" si="35">+E54*$M$154</f>
        <v>0</v>
      </c>
      <c r="G54" s="500">
        <f t="shared" si="35"/>
        <v>0</v>
      </c>
      <c r="H54" s="500">
        <f t="shared" si="35"/>
        <v>0</v>
      </c>
      <c r="I54" s="500">
        <f t="shared" si="35"/>
        <v>0</v>
      </c>
      <c r="J54" s="500">
        <f t="shared" si="35"/>
        <v>0</v>
      </c>
      <c r="K54" s="500">
        <f t="shared" si="35"/>
        <v>0</v>
      </c>
      <c r="L54" s="500">
        <f t="shared" si="35"/>
        <v>0</v>
      </c>
      <c r="M54" s="500">
        <f t="shared" si="35"/>
        <v>0</v>
      </c>
      <c r="N54" s="500">
        <f t="shared" si="35"/>
        <v>0</v>
      </c>
      <c r="O54" s="500">
        <f t="shared" si="35"/>
        <v>0</v>
      </c>
      <c r="P54" s="500">
        <f t="shared" si="35"/>
        <v>0</v>
      </c>
      <c r="Q54" s="500">
        <f t="shared" si="35"/>
        <v>0</v>
      </c>
      <c r="R54" s="500">
        <f t="shared" si="35"/>
        <v>0</v>
      </c>
      <c r="S54" s="563">
        <f t="shared" si="35"/>
        <v>0</v>
      </c>
    </row>
    <row r="55" spans="1:21">
      <c r="A55" s="183">
        <f>'Income &amp; OpEx'!A58</f>
        <v>6350</v>
      </c>
      <c r="B55" s="186" t="str">
        <f>'Income &amp; OpEx'!B58</f>
        <v xml:space="preserve"> Audit Expense</v>
      </c>
      <c r="C55" s="186"/>
      <c r="D55" s="186"/>
      <c r="E55" s="567">
        <f>'Income &amp; OpEx'!O58</f>
        <v>0</v>
      </c>
      <c r="F55" s="500">
        <f t="shared" ref="F55:S55" si="36">+E55*$M$154</f>
        <v>0</v>
      </c>
      <c r="G55" s="500">
        <f t="shared" si="36"/>
        <v>0</v>
      </c>
      <c r="H55" s="500">
        <f t="shared" si="36"/>
        <v>0</v>
      </c>
      <c r="I55" s="500">
        <f t="shared" si="36"/>
        <v>0</v>
      </c>
      <c r="J55" s="500">
        <f t="shared" si="36"/>
        <v>0</v>
      </c>
      <c r="K55" s="500">
        <f t="shared" si="36"/>
        <v>0</v>
      </c>
      <c r="L55" s="500">
        <f t="shared" si="36"/>
        <v>0</v>
      </c>
      <c r="M55" s="500">
        <f t="shared" si="36"/>
        <v>0</v>
      </c>
      <c r="N55" s="500">
        <f t="shared" si="36"/>
        <v>0</v>
      </c>
      <c r="O55" s="500">
        <f t="shared" si="36"/>
        <v>0</v>
      </c>
      <c r="P55" s="500">
        <f t="shared" si="36"/>
        <v>0</v>
      </c>
      <c r="Q55" s="500">
        <f t="shared" si="36"/>
        <v>0</v>
      </c>
      <c r="R55" s="500">
        <f t="shared" si="36"/>
        <v>0</v>
      </c>
      <c r="S55" s="563">
        <f t="shared" si="36"/>
        <v>0</v>
      </c>
    </row>
    <row r="56" spans="1:21" hidden="1">
      <c r="A56" s="183">
        <f>'Income &amp; OpEx'!A59</f>
        <v>6351</v>
      </c>
      <c r="B56" s="186" t="str">
        <f>'Income &amp; OpEx'!B59</f>
        <v xml:space="preserve"> Bookkeeping/Acct. Fees</v>
      </c>
      <c r="C56" s="186"/>
      <c r="D56" s="186"/>
      <c r="E56" s="567">
        <f>'Income &amp; OpEx'!O59</f>
        <v>0</v>
      </c>
      <c r="F56" s="500">
        <f t="shared" ref="F56:S56" si="37">+E56*$M$154</f>
        <v>0</v>
      </c>
      <c r="G56" s="500">
        <f t="shared" si="37"/>
        <v>0</v>
      </c>
      <c r="H56" s="500">
        <f t="shared" si="37"/>
        <v>0</v>
      </c>
      <c r="I56" s="500">
        <f t="shared" si="37"/>
        <v>0</v>
      </c>
      <c r="J56" s="500">
        <f t="shared" si="37"/>
        <v>0</v>
      </c>
      <c r="K56" s="500">
        <f t="shared" si="37"/>
        <v>0</v>
      </c>
      <c r="L56" s="500">
        <f t="shared" si="37"/>
        <v>0</v>
      </c>
      <c r="M56" s="500">
        <f t="shared" si="37"/>
        <v>0</v>
      </c>
      <c r="N56" s="500">
        <f t="shared" si="37"/>
        <v>0</v>
      </c>
      <c r="O56" s="500">
        <f t="shared" si="37"/>
        <v>0</v>
      </c>
      <c r="P56" s="500">
        <f t="shared" si="37"/>
        <v>0</v>
      </c>
      <c r="Q56" s="500">
        <f t="shared" si="37"/>
        <v>0</v>
      </c>
      <c r="R56" s="500">
        <f t="shared" si="37"/>
        <v>0</v>
      </c>
      <c r="S56" s="563">
        <f t="shared" si="37"/>
        <v>0</v>
      </c>
    </row>
    <row r="57" spans="1:21" hidden="1">
      <c r="A57" s="183">
        <f>'Income &amp; OpEx'!A60</f>
        <v>6360</v>
      </c>
      <c r="B57" s="186" t="str">
        <f>'Income &amp; OpEx'!B60</f>
        <v xml:space="preserve"> Telephone/Answering Ser.</v>
      </c>
      <c r="C57" s="186"/>
      <c r="D57" s="186"/>
      <c r="E57" s="567">
        <f>'Income &amp; OpEx'!O60</f>
        <v>0</v>
      </c>
      <c r="F57" s="500">
        <f t="shared" ref="F57:S57" si="38">+E57*$M$154</f>
        <v>0</v>
      </c>
      <c r="G57" s="500">
        <f t="shared" si="38"/>
        <v>0</v>
      </c>
      <c r="H57" s="500">
        <f t="shared" si="38"/>
        <v>0</v>
      </c>
      <c r="I57" s="500">
        <f t="shared" si="38"/>
        <v>0</v>
      </c>
      <c r="J57" s="500">
        <f t="shared" si="38"/>
        <v>0</v>
      </c>
      <c r="K57" s="500">
        <f t="shared" si="38"/>
        <v>0</v>
      </c>
      <c r="L57" s="500">
        <f t="shared" si="38"/>
        <v>0</v>
      </c>
      <c r="M57" s="500">
        <f t="shared" si="38"/>
        <v>0</v>
      </c>
      <c r="N57" s="500">
        <f t="shared" si="38"/>
        <v>0</v>
      </c>
      <c r="O57" s="500">
        <f t="shared" si="38"/>
        <v>0</v>
      </c>
      <c r="P57" s="500">
        <f t="shared" si="38"/>
        <v>0</v>
      </c>
      <c r="Q57" s="500">
        <f t="shared" si="38"/>
        <v>0</v>
      </c>
      <c r="R57" s="500">
        <f t="shared" si="38"/>
        <v>0</v>
      </c>
      <c r="S57" s="563">
        <f t="shared" si="38"/>
        <v>0</v>
      </c>
    </row>
    <row r="58" spans="1:21" hidden="1">
      <c r="A58" s="183">
        <f>'Income &amp; OpEx'!A61</f>
        <v>6370</v>
      </c>
      <c r="B58" s="186" t="str">
        <f>'Income &amp; OpEx'!B61</f>
        <v xml:space="preserve"> Bad Debts</v>
      </c>
      <c r="C58" s="186"/>
      <c r="D58" s="186"/>
      <c r="E58" s="567">
        <f>'Income &amp; OpEx'!O61</f>
        <v>0</v>
      </c>
      <c r="F58" s="500">
        <f t="shared" ref="F58:S58" si="39">+E58*$M$154</f>
        <v>0</v>
      </c>
      <c r="G58" s="500">
        <f t="shared" si="39"/>
        <v>0</v>
      </c>
      <c r="H58" s="500">
        <f t="shared" si="39"/>
        <v>0</v>
      </c>
      <c r="I58" s="500">
        <f t="shared" si="39"/>
        <v>0</v>
      </c>
      <c r="J58" s="500">
        <f t="shared" si="39"/>
        <v>0</v>
      </c>
      <c r="K58" s="500">
        <f t="shared" si="39"/>
        <v>0</v>
      </c>
      <c r="L58" s="500">
        <f t="shared" si="39"/>
        <v>0</v>
      </c>
      <c r="M58" s="500">
        <f t="shared" si="39"/>
        <v>0</v>
      </c>
      <c r="N58" s="500">
        <f t="shared" si="39"/>
        <v>0</v>
      </c>
      <c r="O58" s="500">
        <f t="shared" si="39"/>
        <v>0</v>
      </c>
      <c r="P58" s="500">
        <f t="shared" si="39"/>
        <v>0</v>
      </c>
      <c r="Q58" s="500">
        <f t="shared" si="39"/>
        <v>0</v>
      </c>
      <c r="R58" s="500">
        <f t="shared" si="39"/>
        <v>0</v>
      </c>
      <c r="S58" s="563">
        <f t="shared" si="39"/>
        <v>0</v>
      </c>
    </row>
    <row r="59" spans="1:21" hidden="1">
      <c r="A59" s="183">
        <f>'Income &amp; OpEx'!A62</f>
        <v>6390</v>
      </c>
      <c r="B59" s="186" t="str">
        <f>'Income &amp; OpEx'!B62</f>
        <v>Admin/MIS/Training/Educ</v>
      </c>
      <c r="C59" s="186"/>
      <c r="D59" s="186"/>
      <c r="E59" s="567">
        <f>'Income &amp; OpEx'!O62</f>
        <v>0</v>
      </c>
      <c r="F59" s="632">
        <f t="shared" ref="F59:S59" si="40">+E59*$M$154</f>
        <v>0</v>
      </c>
      <c r="G59" s="632">
        <f t="shared" si="40"/>
        <v>0</v>
      </c>
      <c r="H59" s="632">
        <f t="shared" si="40"/>
        <v>0</v>
      </c>
      <c r="I59" s="632">
        <f t="shared" si="40"/>
        <v>0</v>
      </c>
      <c r="J59" s="632">
        <f t="shared" si="40"/>
        <v>0</v>
      </c>
      <c r="K59" s="632">
        <f t="shared" si="40"/>
        <v>0</v>
      </c>
      <c r="L59" s="632">
        <f t="shared" si="40"/>
        <v>0</v>
      </c>
      <c r="M59" s="632">
        <f t="shared" si="40"/>
        <v>0</v>
      </c>
      <c r="N59" s="632">
        <f t="shared" si="40"/>
        <v>0</v>
      </c>
      <c r="O59" s="632">
        <f t="shared" si="40"/>
        <v>0</v>
      </c>
      <c r="P59" s="632">
        <f t="shared" si="40"/>
        <v>0</v>
      </c>
      <c r="Q59" s="632">
        <f t="shared" si="40"/>
        <v>0</v>
      </c>
      <c r="R59" s="632">
        <f t="shared" si="40"/>
        <v>0</v>
      </c>
      <c r="S59" s="648">
        <f t="shared" si="40"/>
        <v>0</v>
      </c>
    </row>
    <row r="60" spans="1:21" hidden="1">
      <c r="A60" s="183"/>
      <c r="B60" s="186" t="str">
        <f>'Income &amp; OpEx'!B63</f>
        <v>Compliance Monitoring Fees (IF annual)</v>
      </c>
      <c r="C60" s="186"/>
      <c r="D60" s="186"/>
      <c r="E60" s="635">
        <f>'Income &amp; OpEx'!O63</f>
        <v>0</v>
      </c>
      <c r="F60" s="636">
        <f>E60*$M$154</f>
        <v>0</v>
      </c>
      <c r="G60" s="636">
        <f t="shared" ref="G60:S60" si="41">F60*$M$154</f>
        <v>0</v>
      </c>
      <c r="H60" s="636">
        <f t="shared" si="41"/>
        <v>0</v>
      </c>
      <c r="I60" s="636">
        <f t="shared" si="41"/>
        <v>0</v>
      </c>
      <c r="J60" s="636">
        <f t="shared" si="41"/>
        <v>0</v>
      </c>
      <c r="K60" s="636">
        <f t="shared" si="41"/>
        <v>0</v>
      </c>
      <c r="L60" s="636">
        <f t="shared" si="41"/>
        <v>0</v>
      </c>
      <c r="M60" s="636">
        <f t="shared" si="41"/>
        <v>0</v>
      </c>
      <c r="N60" s="636">
        <f t="shared" si="41"/>
        <v>0</v>
      </c>
      <c r="O60" s="636">
        <f t="shared" si="41"/>
        <v>0</v>
      </c>
      <c r="P60" s="636">
        <f t="shared" si="41"/>
        <v>0</v>
      </c>
      <c r="Q60" s="636">
        <f t="shared" si="41"/>
        <v>0</v>
      </c>
      <c r="R60" s="636">
        <f t="shared" si="41"/>
        <v>0</v>
      </c>
      <c r="S60" s="643">
        <f t="shared" si="41"/>
        <v>0</v>
      </c>
      <c r="T60" s="7" t="s">
        <v>250</v>
      </c>
      <c r="U60" s="101" t="s">
        <v>1004</v>
      </c>
    </row>
    <row r="61" spans="1:21">
      <c r="A61" s="183"/>
      <c r="B61" s="175"/>
      <c r="C61" s="175"/>
      <c r="D61" s="175"/>
      <c r="E61" s="1566">
        <f>SUM(E41:E60)</f>
        <v>0</v>
      </c>
      <c r="F61" s="1566">
        <f>SUM(F41:F60)</f>
        <v>0</v>
      </c>
      <c r="G61" s="1566">
        <f t="shared" ref="G61:S61" si="42">SUM(G41:G60)</f>
        <v>0</v>
      </c>
      <c r="H61" s="1566">
        <f t="shared" si="42"/>
        <v>0</v>
      </c>
      <c r="I61" s="1566">
        <f t="shared" si="42"/>
        <v>0</v>
      </c>
      <c r="J61" s="1566">
        <f t="shared" si="42"/>
        <v>0</v>
      </c>
      <c r="K61" s="1566">
        <f t="shared" si="42"/>
        <v>0</v>
      </c>
      <c r="L61" s="1566">
        <f t="shared" si="42"/>
        <v>0</v>
      </c>
      <c r="M61" s="1566">
        <f t="shared" si="42"/>
        <v>0</v>
      </c>
      <c r="N61" s="1566">
        <f t="shared" si="42"/>
        <v>0</v>
      </c>
      <c r="O61" s="1566">
        <f t="shared" si="42"/>
        <v>0</v>
      </c>
      <c r="P61" s="1566">
        <f t="shared" si="42"/>
        <v>0</v>
      </c>
      <c r="Q61" s="1566">
        <f t="shared" si="42"/>
        <v>0</v>
      </c>
      <c r="R61" s="1566">
        <f t="shared" si="42"/>
        <v>0</v>
      </c>
      <c r="S61" s="1584">
        <f t="shared" si="42"/>
        <v>0</v>
      </c>
    </row>
    <row r="62" spans="1:21">
      <c r="A62" s="183"/>
      <c r="B62" s="175"/>
      <c r="C62" s="175"/>
      <c r="D62" s="175"/>
      <c r="E62" s="176"/>
      <c r="S62" s="140"/>
    </row>
    <row r="63" spans="1:21">
      <c r="A63" s="183"/>
      <c r="B63" s="181" t="str">
        <f>'Income &amp; OpEx'!B67</f>
        <v>Utilities Expense</v>
      </c>
      <c r="C63" s="181"/>
      <c r="D63" s="181"/>
      <c r="E63" s="176"/>
      <c r="S63" s="140"/>
    </row>
    <row r="64" spans="1:21" hidden="1">
      <c r="A64" s="183">
        <f>'Income &amp; OpEx'!A68</f>
        <v>6420</v>
      </c>
      <c r="B64" s="186" t="str">
        <f>'Income &amp; OpEx'!B68</f>
        <v xml:space="preserve"> Steam Charges</v>
      </c>
      <c r="C64" s="186"/>
      <c r="D64" s="186"/>
      <c r="E64" s="567">
        <f>'Income &amp; OpEx'!O68</f>
        <v>0</v>
      </c>
      <c r="F64" s="500">
        <f t="shared" ref="F64:S64" si="43">+E64*$M$154</f>
        <v>0</v>
      </c>
      <c r="G64" s="500">
        <f t="shared" si="43"/>
        <v>0</v>
      </c>
      <c r="H64" s="500">
        <f t="shared" si="43"/>
        <v>0</v>
      </c>
      <c r="I64" s="500">
        <f t="shared" si="43"/>
        <v>0</v>
      </c>
      <c r="J64" s="500">
        <f t="shared" si="43"/>
        <v>0</v>
      </c>
      <c r="K64" s="500">
        <f t="shared" si="43"/>
        <v>0</v>
      </c>
      <c r="L64" s="500">
        <f t="shared" si="43"/>
        <v>0</v>
      </c>
      <c r="M64" s="500">
        <f t="shared" si="43"/>
        <v>0</v>
      </c>
      <c r="N64" s="500">
        <f t="shared" si="43"/>
        <v>0</v>
      </c>
      <c r="O64" s="500">
        <f t="shared" si="43"/>
        <v>0</v>
      </c>
      <c r="P64" s="500">
        <f t="shared" si="43"/>
        <v>0</v>
      </c>
      <c r="Q64" s="500">
        <f t="shared" si="43"/>
        <v>0</v>
      </c>
      <c r="R64" s="500">
        <f t="shared" si="43"/>
        <v>0</v>
      </c>
      <c r="S64" s="563">
        <f t="shared" si="43"/>
        <v>0</v>
      </c>
    </row>
    <row r="65" spans="1:19">
      <c r="A65" s="183">
        <f>'Income &amp; OpEx'!A69</f>
        <v>6450</v>
      </c>
      <c r="B65" s="186" t="str">
        <f>'Income &amp; OpEx'!B69</f>
        <v xml:space="preserve"> Electricity</v>
      </c>
      <c r="C65" s="186"/>
      <c r="D65" s="186"/>
      <c r="E65" s="567">
        <f>'Income &amp; OpEx'!O69</f>
        <v>0</v>
      </c>
      <c r="F65" s="500">
        <f t="shared" ref="F65:S65" si="44">+E65*$M$154</f>
        <v>0</v>
      </c>
      <c r="G65" s="500">
        <f t="shared" si="44"/>
        <v>0</v>
      </c>
      <c r="H65" s="500">
        <f t="shared" si="44"/>
        <v>0</v>
      </c>
      <c r="I65" s="500">
        <f t="shared" si="44"/>
        <v>0</v>
      </c>
      <c r="J65" s="500">
        <f t="shared" si="44"/>
        <v>0</v>
      </c>
      <c r="K65" s="500">
        <f t="shared" si="44"/>
        <v>0</v>
      </c>
      <c r="L65" s="500">
        <f t="shared" si="44"/>
        <v>0</v>
      </c>
      <c r="M65" s="500">
        <f t="shared" si="44"/>
        <v>0</v>
      </c>
      <c r="N65" s="500">
        <f t="shared" si="44"/>
        <v>0</v>
      </c>
      <c r="O65" s="500">
        <f t="shared" si="44"/>
        <v>0</v>
      </c>
      <c r="P65" s="500">
        <f t="shared" si="44"/>
        <v>0</v>
      </c>
      <c r="Q65" s="500">
        <f t="shared" si="44"/>
        <v>0</v>
      </c>
      <c r="R65" s="500">
        <f t="shared" si="44"/>
        <v>0</v>
      </c>
      <c r="S65" s="563">
        <f t="shared" si="44"/>
        <v>0</v>
      </c>
    </row>
    <row r="66" spans="1:19" hidden="1">
      <c r="A66" s="183"/>
      <c r="B66" s="186" t="str">
        <f>'Income &amp; OpEx'!B70</f>
        <v xml:space="preserve"> Electricity CAM</v>
      </c>
      <c r="C66" s="186"/>
      <c r="D66" s="186"/>
      <c r="E66" s="567">
        <f>'Income &amp; OpEx'!O70</f>
        <v>0</v>
      </c>
      <c r="F66" s="500">
        <f t="shared" ref="F66:S66" si="45">+E66*$M$154</f>
        <v>0</v>
      </c>
      <c r="G66" s="500">
        <f t="shared" si="45"/>
        <v>0</v>
      </c>
      <c r="H66" s="500">
        <f t="shared" si="45"/>
        <v>0</v>
      </c>
      <c r="I66" s="500">
        <f t="shared" si="45"/>
        <v>0</v>
      </c>
      <c r="J66" s="500">
        <f t="shared" si="45"/>
        <v>0</v>
      </c>
      <c r="K66" s="500">
        <f t="shared" si="45"/>
        <v>0</v>
      </c>
      <c r="L66" s="500">
        <f t="shared" si="45"/>
        <v>0</v>
      </c>
      <c r="M66" s="500">
        <f t="shared" si="45"/>
        <v>0</v>
      </c>
      <c r="N66" s="500">
        <f t="shared" si="45"/>
        <v>0</v>
      </c>
      <c r="O66" s="500">
        <f t="shared" si="45"/>
        <v>0</v>
      </c>
      <c r="P66" s="500">
        <f t="shared" si="45"/>
        <v>0</v>
      </c>
      <c r="Q66" s="500">
        <f t="shared" si="45"/>
        <v>0</v>
      </c>
      <c r="R66" s="500">
        <f t="shared" si="45"/>
        <v>0</v>
      </c>
      <c r="S66" s="563">
        <f t="shared" si="45"/>
        <v>0</v>
      </c>
    </row>
    <row r="67" spans="1:19">
      <c r="A67" s="183">
        <f>'Income &amp; OpEx'!A71</f>
        <v>6451</v>
      </c>
      <c r="B67" s="186" t="str">
        <f>'Income &amp; OpEx'!B71</f>
        <v xml:space="preserve"> Water</v>
      </c>
      <c r="C67" s="186"/>
      <c r="D67" s="186"/>
      <c r="E67" s="567">
        <f>'Income &amp; OpEx'!O71</f>
        <v>0</v>
      </c>
      <c r="F67" s="500">
        <f t="shared" ref="F67:S67" si="46">+E67*$M$154</f>
        <v>0</v>
      </c>
      <c r="G67" s="500">
        <f t="shared" si="46"/>
        <v>0</v>
      </c>
      <c r="H67" s="500">
        <f t="shared" si="46"/>
        <v>0</v>
      </c>
      <c r="I67" s="500">
        <f t="shared" si="46"/>
        <v>0</v>
      </c>
      <c r="J67" s="500">
        <f t="shared" si="46"/>
        <v>0</v>
      </c>
      <c r="K67" s="500">
        <f t="shared" si="46"/>
        <v>0</v>
      </c>
      <c r="L67" s="500">
        <f t="shared" si="46"/>
        <v>0</v>
      </c>
      <c r="M67" s="500">
        <f t="shared" si="46"/>
        <v>0</v>
      </c>
      <c r="N67" s="500">
        <f t="shared" si="46"/>
        <v>0</v>
      </c>
      <c r="O67" s="500">
        <f t="shared" si="46"/>
        <v>0</v>
      </c>
      <c r="P67" s="500">
        <f t="shared" si="46"/>
        <v>0</v>
      </c>
      <c r="Q67" s="500">
        <f t="shared" si="46"/>
        <v>0</v>
      </c>
      <c r="R67" s="500">
        <f t="shared" si="46"/>
        <v>0</v>
      </c>
      <c r="S67" s="563">
        <f t="shared" si="46"/>
        <v>0</v>
      </c>
    </row>
    <row r="68" spans="1:19">
      <c r="A68" s="183">
        <f>'Income &amp; OpEx'!A72</f>
        <v>6452</v>
      </c>
      <c r="B68" s="186" t="str">
        <f>'Income &amp; OpEx'!B72</f>
        <v xml:space="preserve"> Gas CAM</v>
      </c>
      <c r="C68" s="186"/>
      <c r="D68" s="186"/>
      <c r="E68" s="567">
        <f>'Income &amp; OpEx'!O72</f>
        <v>0</v>
      </c>
      <c r="F68" s="500">
        <f t="shared" ref="F68:S68" si="47">+E68*$M$154</f>
        <v>0</v>
      </c>
      <c r="G68" s="500">
        <f t="shared" si="47"/>
        <v>0</v>
      </c>
      <c r="H68" s="500">
        <f t="shared" si="47"/>
        <v>0</v>
      </c>
      <c r="I68" s="500">
        <f t="shared" si="47"/>
        <v>0</v>
      </c>
      <c r="J68" s="500">
        <f t="shared" si="47"/>
        <v>0</v>
      </c>
      <c r="K68" s="500">
        <f t="shared" si="47"/>
        <v>0</v>
      </c>
      <c r="L68" s="500">
        <f t="shared" si="47"/>
        <v>0</v>
      </c>
      <c r="M68" s="500">
        <f t="shared" si="47"/>
        <v>0</v>
      </c>
      <c r="N68" s="500">
        <f t="shared" si="47"/>
        <v>0</v>
      </c>
      <c r="O68" s="500">
        <f t="shared" si="47"/>
        <v>0</v>
      </c>
      <c r="P68" s="500">
        <f t="shared" si="47"/>
        <v>0</v>
      </c>
      <c r="Q68" s="500">
        <f t="shared" si="47"/>
        <v>0</v>
      </c>
      <c r="R68" s="500">
        <f t="shared" si="47"/>
        <v>0</v>
      </c>
      <c r="S68" s="563">
        <f t="shared" si="47"/>
        <v>0</v>
      </c>
    </row>
    <row r="69" spans="1:19" hidden="1">
      <c r="A69" s="183">
        <f>'Income &amp; OpEx'!A73</f>
        <v>6453</v>
      </c>
      <c r="B69" s="186" t="str">
        <f>'Income &amp; OpEx'!B73</f>
        <v xml:space="preserve"> Sewer</v>
      </c>
      <c r="C69" s="186"/>
      <c r="D69" s="186"/>
      <c r="E69" s="635">
        <f>'Income &amp; OpEx'!O73</f>
        <v>0</v>
      </c>
      <c r="F69" s="636">
        <f t="shared" ref="F69:S69" si="48">+E69*$M$154</f>
        <v>0</v>
      </c>
      <c r="G69" s="636">
        <f t="shared" si="48"/>
        <v>0</v>
      </c>
      <c r="H69" s="636">
        <f t="shared" si="48"/>
        <v>0</v>
      </c>
      <c r="I69" s="636">
        <f t="shared" si="48"/>
        <v>0</v>
      </c>
      <c r="J69" s="636">
        <f t="shared" si="48"/>
        <v>0</v>
      </c>
      <c r="K69" s="636">
        <f t="shared" si="48"/>
        <v>0</v>
      </c>
      <c r="L69" s="636">
        <f t="shared" si="48"/>
        <v>0</v>
      </c>
      <c r="M69" s="636">
        <f t="shared" si="48"/>
        <v>0</v>
      </c>
      <c r="N69" s="636">
        <f t="shared" si="48"/>
        <v>0</v>
      </c>
      <c r="O69" s="636">
        <f t="shared" si="48"/>
        <v>0</v>
      </c>
      <c r="P69" s="636">
        <f t="shared" si="48"/>
        <v>0</v>
      </c>
      <c r="Q69" s="636">
        <f t="shared" si="48"/>
        <v>0</v>
      </c>
      <c r="R69" s="636">
        <f t="shared" si="48"/>
        <v>0</v>
      </c>
      <c r="S69" s="643">
        <f t="shared" si="48"/>
        <v>0</v>
      </c>
    </row>
    <row r="70" spans="1:19">
      <c r="A70" s="183"/>
      <c r="B70" s="175"/>
      <c r="C70" s="175"/>
      <c r="D70" s="175"/>
      <c r="E70" s="1566">
        <f>SUM(E64:E69)</f>
        <v>0</v>
      </c>
      <c r="F70" s="1585">
        <f t="shared" ref="F70:S70" si="49">SUM(F64:F69)</f>
        <v>0</v>
      </c>
      <c r="G70" s="1585">
        <f t="shared" si="49"/>
        <v>0</v>
      </c>
      <c r="H70" s="1585">
        <f t="shared" si="49"/>
        <v>0</v>
      </c>
      <c r="I70" s="1585">
        <f t="shared" si="49"/>
        <v>0</v>
      </c>
      <c r="J70" s="1585">
        <f t="shared" si="49"/>
        <v>0</v>
      </c>
      <c r="K70" s="1585">
        <f t="shared" si="49"/>
        <v>0</v>
      </c>
      <c r="L70" s="1585">
        <f t="shared" si="49"/>
        <v>0</v>
      </c>
      <c r="M70" s="1585">
        <f t="shared" si="49"/>
        <v>0</v>
      </c>
      <c r="N70" s="1585">
        <f t="shared" si="49"/>
        <v>0</v>
      </c>
      <c r="O70" s="1585">
        <f t="shared" si="49"/>
        <v>0</v>
      </c>
      <c r="P70" s="1585">
        <f t="shared" si="49"/>
        <v>0</v>
      </c>
      <c r="Q70" s="1585">
        <f t="shared" si="49"/>
        <v>0</v>
      </c>
      <c r="R70" s="1585">
        <f t="shared" si="49"/>
        <v>0</v>
      </c>
      <c r="S70" s="1586">
        <f t="shared" si="49"/>
        <v>0</v>
      </c>
    </row>
    <row r="71" spans="1:19">
      <c r="A71" s="183"/>
      <c r="B71" s="175"/>
      <c r="C71" s="175"/>
      <c r="D71" s="175"/>
      <c r="E71" s="633"/>
      <c r="F71" s="485"/>
      <c r="G71" s="485"/>
      <c r="H71" s="485"/>
      <c r="I71" s="485"/>
      <c r="J71" s="485"/>
      <c r="K71" s="485"/>
      <c r="L71" s="485"/>
      <c r="M71" s="485"/>
      <c r="N71" s="485"/>
      <c r="O71" s="485"/>
      <c r="P71" s="485"/>
      <c r="Q71" s="485"/>
      <c r="R71" s="485"/>
      <c r="S71" s="555"/>
    </row>
    <row r="72" spans="1:19">
      <c r="A72" s="183"/>
      <c r="B72" s="181" t="str">
        <f>'Income &amp; OpEx'!B77</f>
        <v>Operating/Maint. Expenses</v>
      </c>
      <c r="C72" s="181"/>
      <c r="D72" s="181"/>
      <c r="E72" s="633"/>
      <c r="F72" s="485"/>
      <c r="G72" s="485"/>
      <c r="H72" s="485"/>
      <c r="I72" s="485"/>
      <c r="J72" s="485"/>
      <c r="K72" s="485"/>
      <c r="L72" s="485"/>
      <c r="M72" s="485"/>
      <c r="N72" s="485"/>
      <c r="O72" s="485"/>
      <c r="P72" s="485"/>
      <c r="Q72" s="485"/>
      <c r="R72" s="485"/>
      <c r="S72" s="555"/>
    </row>
    <row r="73" spans="1:19" hidden="1">
      <c r="A73" s="183">
        <f>'Income &amp; OpEx'!A78</f>
        <v>6510</v>
      </c>
      <c r="B73" s="186" t="str">
        <f>'Income &amp; OpEx'!B78</f>
        <v xml:space="preserve"> Janitor/Cleaning Payroll</v>
      </c>
      <c r="C73" s="186"/>
      <c r="D73" s="186"/>
      <c r="E73" s="567">
        <f>'Income &amp; OpEx'!O78</f>
        <v>0</v>
      </c>
      <c r="F73" s="500">
        <f t="shared" ref="F73:S73" si="50">+E73*$M$154</f>
        <v>0</v>
      </c>
      <c r="G73" s="500">
        <f t="shared" si="50"/>
        <v>0</v>
      </c>
      <c r="H73" s="500">
        <f t="shared" si="50"/>
        <v>0</v>
      </c>
      <c r="I73" s="500">
        <f t="shared" si="50"/>
        <v>0</v>
      </c>
      <c r="J73" s="500">
        <f t="shared" si="50"/>
        <v>0</v>
      </c>
      <c r="K73" s="500">
        <f t="shared" si="50"/>
        <v>0</v>
      </c>
      <c r="L73" s="500">
        <f t="shared" si="50"/>
        <v>0</v>
      </c>
      <c r="M73" s="500">
        <f t="shared" si="50"/>
        <v>0</v>
      </c>
      <c r="N73" s="500">
        <f t="shared" si="50"/>
        <v>0</v>
      </c>
      <c r="O73" s="500">
        <f t="shared" si="50"/>
        <v>0</v>
      </c>
      <c r="P73" s="500">
        <f t="shared" si="50"/>
        <v>0</v>
      </c>
      <c r="Q73" s="500">
        <f t="shared" si="50"/>
        <v>0</v>
      </c>
      <c r="R73" s="500">
        <f t="shared" si="50"/>
        <v>0</v>
      </c>
      <c r="S73" s="563">
        <f t="shared" si="50"/>
        <v>0</v>
      </c>
    </row>
    <row r="74" spans="1:19" hidden="1">
      <c r="A74" s="183"/>
      <c r="B74" s="186" t="str">
        <f>'Income &amp; OpEx'!B79</f>
        <v xml:space="preserve"> Janitor/Cleaning Payroll CAM</v>
      </c>
      <c r="C74" s="186"/>
      <c r="D74" s="186"/>
      <c r="E74" s="567">
        <f>'Income &amp; OpEx'!O79</f>
        <v>0</v>
      </c>
      <c r="F74" s="500">
        <f t="shared" ref="F74:S74" si="51">+E74*$M$154</f>
        <v>0</v>
      </c>
      <c r="G74" s="500">
        <f t="shared" si="51"/>
        <v>0</v>
      </c>
      <c r="H74" s="500">
        <f t="shared" si="51"/>
        <v>0</v>
      </c>
      <c r="I74" s="500">
        <f t="shared" si="51"/>
        <v>0</v>
      </c>
      <c r="J74" s="500">
        <f t="shared" si="51"/>
        <v>0</v>
      </c>
      <c r="K74" s="500">
        <f t="shared" si="51"/>
        <v>0</v>
      </c>
      <c r="L74" s="500">
        <f t="shared" si="51"/>
        <v>0</v>
      </c>
      <c r="M74" s="500">
        <f t="shared" si="51"/>
        <v>0</v>
      </c>
      <c r="N74" s="500">
        <f t="shared" si="51"/>
        <v>0</v>
      </c>
      <c r="O74" s="500">
        <f t="shared" si="51"/>
        <v>0</v>
      </c>
      <c r="P74" s="500">
        <f t="shared" si="51"/>
        <v>0</v>
      </c>
      <c r="Q74" s="500">
        <f t="shared" si="51"/>
        <v>0</v>
      </c>
      <c r="R74" s="500">
        <f t="shared" si="51"/>
        <v>0</v>
      </c>
      <c r="S74" s="563">
        <f t="shared" si="51"/>
        <v>0</v>
      </c>
    </row>
    <row r="75" spans="1:19" hidden="1">
      <c r="A75" s="183">
        <f>'Income &amp; OpEx'!A80</f>
        <v>6515</v>
      </c>
      <c r="B75" s="186" t="str">
        <f>'Income &amp; OpEx'!B80</f>
        <v xml:space="preserve"> Cleaning Supplies/Uniforms</v>
      </c>
      <c r="C75" s="186"/>
      <c r="D75" s="186"/>
      <c r="E75" s="567">
        <f>'Income &amp; OpEx'!O80</f>
        <v>0</v>
      </c>
      <c r="F75" s="500">
        <f t="shared" ref="F75:S75" si="52">+E75*$M$154</f>
        <v>0</v>
      </c>
      <c r="G75" s="500">
        <f t="shared" si="52"/>
        <v>0</v>
      </c>
      <c r="H75" s="500">
        <f t="shared" si="52"/>
        <v>0</v>
      </c>
      <c r="I75" s="500">
        <f t="shared" si="52"/>
        <v>0</v>
      </c>
      <c r="J75" s="500">
        <f t="shared" si="52"/>
        <v>0</v>
      </c>
      <c r="K75" s="500">
        <f t="shared" si="52"/>
        <v>0</v>
      </c>
      <c r="L75" s="500">
        <f t="shared" si="52"/>
        <v>0</v>
      </c>
      <c r="M75" s="500">
        <f t="shared" si="52"/>
        <v>0</v>
      </c>
      <c r="N75" s="500">
        <f t="shared" si="52"/>
        <v>0</v>
      </c>
      <c r="O75" s="500">
        <f t="shared" si="52"/>
        <v>0</v>
      </c>
      <c r="P75" s="500">
        <f t="shared" si="52"/>
        <v>0</v>
      </c>
      <c r="Q75" s="500">
        <f t="shared" si="52"/>
        <v>0</v>
      </c>
      <c r="R75" s="500">
        <f t="shared" si="52"/>
        <v>0</v>
      </c>
      <c r="S75" s="563">
        <f t="shared" si="52"/>
        <v>0</v>
      </c>
    </row>
    <row r="76" spans="1:19" hidden="1">
      <c r="A76" s="183">
        <f>'Income &amp; OpEx'!A81</f>
        <v>6517</v>
      </c>
      <c r="B76" s="186" t="str">
        <f>'Income &amp; OpEx'!B81</f>
        <v xml:space="preserve"> Janitor/Cleaning Contract</v>
      </c>
      <c r="C76" s="186"/>
      <c r="D76" s="186"/>
      <c r="E76" s="567">
        <f>'Income &amp; OpEx'!O81</f>
        <v>0</v>
      </c>
      <c r="F76" s="500">
        <f t="shared" ref="F76:S76" si="53">+E76*$M$154</f>
        <v>0</v>
      </c>
      <c r="G76" s="500">
        <f t="shared" si="53"/>
        <v>0</v>
      </c>
      <c r="H76" s="500">
        <f t="shared" si="53"/>
        <v>0</v>
      </c>
      <c r="I76" s="500">
        <f t="shared" si="53"/>
        <v>0</v>
      </c>
      <c r="J76" s="500">
        <f t="shared" si="53"/>
        <v>0</v>
      </c>
      <c r="K76" s="500">
        <f t="shared" si="53"/>
        <v>0</v>
      </c>
      <c r="L76" s="500">
        <f t="shared" si="53"/>
        <v>0</v>
      </c>
      <c r="M76" s="500">
        <f t="shared" si="53"/>
        <v>0</v>
      </c>
      <c r="N76" s="500">
        <f t="shared" si="53"/>
        <v>0</v>
      </c>
      <c r="O76" s="500">
        <f t="shared" si="53"/>
        <v>0</v>
      </c>
      <c r="P76" s="500">
        <f t="shared" si="53"/>
        <v>0</v>
      </c>
      <c r="Q76" s="500">
        <f t="shared" si="53"/>
        <v>0</v>
      </c>
      <c r="R76" s="500">
        <f t="shared" si="53"/>
        <v>0</v>
      </c>
      <c r="S76" s="563">
        <f t="shared" si="53"/>
        <v>0</v>
      </c>
    </row>
    <row r="77" spans="1:19" hidden="1">
      <c r="A77" s="183">
        <f>'Income &amp; OpEx'!A82</f>
        <v>6519</v>
      </c>
      <c r="B77" s="186" t="str">
        <f>'Income &amp; OpEx'!B82</f>
        <v xml:space="preserve"> Exterminating Contract</v>
      </c>
      <c r="C77" s="186"/>
      <c r="D77" s="186"/>
      <c r="E77" s="567">
        <f>'Income &amp; OpEx'!O82</f>
        <v>0</v>
      </c>
      <c r="F77" s="500">
        <f t="shared" ref="F77:S77" si="54">+E77*$M$154</f>
        <v>0</v>
      </c>
      <c r="G77" s="500">
        <f t="shared" si="54"/>
        <v>0</v>
      </c>
      <c r="H77" s="500">
        <f t="shared" si="54"/>
        <v>0</v>
      </c>
      <c r="I77" s="500">
        <f t="shared" si="54"/>
        <v>0</v>
      </c>
      <c r="J77" s="500">
        <f t="shared" si="54"/>
        <v>0</v>
      </c>
      <c r="K77" s="500">
        <f t="shared" si="54"/>
        <v>0</v>
      </c>
      <c r="L77" s="500">
        <f t="shared" si="54"/>
        <v>0</v>
      </c>
      <c r="M77" s="500">
        <f t="shared" si="54"/>
        <v>0</v>
      </c>
      <c r="N77" s="500">
        <f t="shared" si="54"/>
        <v>0</v>
      </c>
      <c r="O77" s="500">
        <f t="shared" si="54"/>
        <v>0</v>
      </c>
      <c r="P77" s="500">
        <f t="shared" si="54"/>
        <v>0</v>
      </c>
      <c r="Q77" s="500">
        <f t="shared" si="54"/>
        <v>0</v>
      </c>
      <c r="R77" s="500">
        <f t="shared" si="54"/>
        <v>0</v>
      </c>
      <c r="S77" s="563">
        <f t="shared" si="54"/>
        <v>0</v>
      </c>
    </row>
    <row r="78" spans="1:19" hidden="1">
      <c r="A78" s="183">
        <f>'Income &amp; OpEx'!A83</f>
        <v>6520</v>
      </c>
      <c r="B78" s="186" t="str">
        <f>'Income &amp; OpEx'!B83</f>
        <v xml:space="preserve"> Exterminating Supplies</v>
      </c>
      <c r="C78" s="186"/>
      <c r="D78" s="186"/>
      <c r="E78" s="567">
        <f>'Income &amp; OpEx'!O83</f>
        <v>0</v>
      </c>
      <c r="F78" s="500">
        <f t="shared" ref="F78:S78" si="55">+E78*$M$154</f>
        <v>0</v>
      </c>
      <c r="G78" s="500">
        <f t="shared" si="55"/>
        <v>0</v>
      </c>
      <c r="H78" s="500">
        <f t="shared" si="55"/>
        <v>0</v>
      </c>
      <c r="I78" s="500">
        <f t="shared" si="55"/>
        <v>0</v>
      </c>
      <c r="J78" s="500">
        <f t="shared" si="55"/>
        <v>0</v>
      </c>
      <c r="K78" s="500">
        <f t="shared" si="55"/>
        <v>0</v>
      </c>
      <c r="L78" s="500">
        <f t="shared" si="55"/>
        <v>0</v>
      </c>
      <c r="M78" s="500">
        <f t="shared" si="55"/>
        <v>0</v>
      </c>
      <c r="N78" s="500">
        <f t="shared" si="55"/>
        <v>0</v>
      </c>
      <c r="O78" s="500">
        <f t="shared" si="55"/>
        <v>0</v>
      </c>
      <c r="P78" s="500">
        <f t="shared" si="55"/>
        <v>0</v>
      </c>
      <c r="Q78" s="500">
        <f t="shared" si="55"/>
        <v>0</v>
      </c>
      <c r="R78" s="500">
        <f t="shared" si="55"/>
        <v>0</v>
      </c>
      <c r="S78" s="563">
        <f t="shared" si="55"/>
        <v>0</v>
      </c>
    </row>
    <row r="79" spans="1:19">
      <c r="A79" s="183">
        <f>'Income &amp; OpEx'!A84</f>
        <v>6525</v>
      </c>
      <c r="B79" s="186" t="str">
        <f>'Income &amp; OpEx'!B84</f>
        <v xml:space="preserve"> Garbage &amp; Trash Removal</v>
      </c>
      <c r="C79" s="186"/>
      <c r="D79" s="186"/>
      <c r="E79" s="567">
        <f>'Income &amp; OpEx'!O84</f>
        <v>0</v>
      </c>
      <c r="F79" s="500">
        <f t="shared" ref="F79:S79" si="56">+E79*$M$154</f>
        <v>0</v>
      </c>
      <c r="G79" s="500">
        <f t="shared" si="56"/>
        <v>0</v>
      </c>
      <c r="H79" s="500">
        <f t="shared" si="56"/>
        <v>0</v>
      </c>
      <c r="I79" s="500">
        <f t="shared" si="56"/>
        <v>0</v>
      </c>
      <c r="J79" s="500">
        <f t="shared" si="56"/>
        <v>0</v>
      </c>
      <c r="K79" s="500">
        <f t="shared" si="56"/>
        <v>0</v>
      </c>
      <c r="L79" s="500">
        <f t="shared" si="56"/>
        <v>0</v>
      </c>
      <c r="M79" s="500">
        <f t="shared" si="56"/>
        <v>0</v>
      </c>
      <c r="N79" s="500">
        <f t="shared" si="56"/>
        <v>0</v>
      </c>
      <c r="O79" s="500">
        <f t="shared" si="56"/>
        <v>0</v>
      </c>
      <c r="P79" s="500">
        <f t="shared" si="56"/>
        <v>0</v>
      </c>
      <c r="Q79" s="500">
        <f t="shared" si="56"/>
        <v>0</v>
      </c>
      <c r="R79" s="500">
        <f t="shared" si="56"/>
        <v>0</v>
      </c>
      <c r="S79" s="563">
        <f t="shared" si="56"/>
        <v>0</v>
      </c>
    </row>
    <row r="80" spans="1:19" hidden="1">
      <c r="A80" s="183">
        <f>'Income &amp; OpEx'!A85</f>
        <v>6530</v>
      </c>
      <c r="B80" s="186" t="str">
        <f>'Income &amp; OpEx'!B85</f>
        <v xml:space="preserve"> Security/Alarm Sys/Fire Prot.</v>
      </c>
      <c r="C80" s="186"/>
      <c r="D80" s="186"/>
      <c r="E80" s="567">
        <f>'Income &amp; OpEx'!O85</f>
        <v>0</v>
      </c>
      <c r="F80" s="500">
        <f t="shared" ref="F80:S80" si="57">+E80*$M$154</f>
        <v>0</v>
      </c>
      <c r="G80" s="500">
        <f t="shared" si="57"/>
        <v>0</v>
      </c>
      <c r="H80" s="500">
        <f t="shared" si="57"/>
        <v>0</v>
      </c>
      <c r="I80" s="500">
        <f t="shared" si="57"/>
        <v>0</v>
      </c>
      <c r="J80" s="500">
        <f t="shared" si="57"/>
        <v>0</v>
      </c>
      <c r="K80" s="500">
        <f t="shared" si="57"/>
        <v>0</v>
      </c>
      <c r="L80" s="500">
        <f t="shared" si="57"/>
        <v>0</v>
      </c>
      <c r="M80" s="500">
        <f t="shared" si="57"/>
        <v>0</v>
      </c>
      <c r="N80" s="500">
        <f t="shared" si="57"/>
        <v>0</v>
      </c>
      <c r="O80" s="500">
        <f t="shared" si="57"/>
        <v>0</v>
      </c>
      <c r="P80" s="500">
        <f t="shared" si="57"/>
        <v>0</v>
      </c>
      <c r="Q80" s="500">
        <f t="shared" si="57"/>
        <v>0</v>
      </c>
      <c r="R80" s="500">
        <f t="shared" si="57"/>
        <v>0</v>
      </c>
      <c r="S80" s="563">
        <f t="shared" si="57"/>
        <v>0</v>
      </c>
    </row>
    <row r="81" spans="1:19" hidden="1">
      <c r="A81" s="183">
        <f>'Income &amp; OpEx'!A86</f>
        <v>6535</v>
      </c>
      <c r="B81" s="186" t="str">
        <f>'Income &amp; OpEx'!B86</f>
        <v xml:space="preserve"> Grounds Payroll</v>
      </c>
      <c r="C81" s="186"/>
      <c r="D81" s="186"/>
      <c r="E81" s="567">
        <f>'Income &amp; OpEx'!O86</f>
        <v>0</v>
      </c>
      <c r="F81" s="500">
        <f t="shared" ref="F81:S81" si="58">+E81*$M$154</f>
        <v>0</v>
      </c>
      <c r="G81" s="500">
        <f t="shared" si="58"/>
        <v>0</v>
      </c>
      <c r="H81" s="500">
        <f t="shared" si="58"/>
        <v>0</v>
      </c>
      <c r="I81" s="500">
        <f t="shared" si="58"/>
        <v>0</v>
      </c>
      <c r="J81" s="500">
        <f t="shared" si="58"/>
        <v>0</v>
      </c>
      <c r="K81" s="500">
        <f t="shared" si="58"/>
        <v>0</v>
      </c>
      <c r="L81" s="500">
        <f t="shared" si="58"/>
        <v>0</v>
      </c>
      <c r="M81" s="500">
        <f t="shared" si="58"/>
        <v>0</v>
      </c>
      <c r="N81" s="500">
        <f t="shared" si="58"/>
        <v>0</v>
      </c>
      <c r="O81" s="500">
        <f t="shared" si="58"/>
        <v>0</v>
      </c>
      <c r="P81" s="500">
        <f t="shared" si="58"/>
        <v>0</v>
      </c>
      <c r="Q81" s="500">
        <f t="shared" si="58"/>
        <v>0</v>
      </c>
      <c r="R81" s="500">
        <f t="shared" si="58"/>
        <v>0</v>
      </c>
      <c r="S81" s="563">
        <f t="shared" si="58"/>
        <v>0</v>
      </c>
    </row>
    <row r="82" spans="1:19" hidden="1">
      <c r="A82" s="183">
        <f>'Income &amp; OpEx'!A87</f>
        <v>6536</v>
      </c>
      <c r="B82" s="186" t="str">
        <f>'Income &amp; OpEx'!B87</f>
        <v xml:space="preserve"> Grounds Supplies/Equipment</v>
      </c>
      <c r="C82" s="186"/>
      <c r="D82" s="186"/>
      <c r="E82" s="567">
        <f>'Income &amp; OpEx'!O87</f>
        <v>0</v>
      </c>
      <c r="F82" s="500">
        <f t="shared" ref="F82:S82" si="59">+E82*$M$154</f>
        <v>0</v>
      </c>
      <c r="G82" s="500">
        <f t="shared" si="59"/>
        <v>0</v>
      </c>
      <c r="H82" s="500">
        <f t="shared" si="59"/>
        <v>0</v>
      </c>
      <c r="I82" s="500">
        <f t="shared" si="59"/>
        <v>0</v>
      </c>
      <c r="J82" s="500">
        <f t="shared" si="59"/>
        <v>0</v>
      </c>
      <c r="K82" s="500">
        <f t="shared" si="59"/>
        <v>0</v>
      </c>
      <c r="L82" s="500">
        <f t="shared" si="59"/>
        <v>0</v>
      </c>
      <c r="M82" s="500">
        <f t="shared" si="59"/>
        <v>0</v>
      </c>
      <c r="N82" s="500">
        <f t="shared" si="59"/>
        <v>0</v>
      </c>
      <c r="O82" s="500">
        <f t="shared" si="59"/>
        <v>0</v>
      </c>
      <c r="P82" s="500">
        <f t="shared" si="59"/>
        <v>0</v>
      </c>
      <c r="Q82" s="500">
        <f t="shared" si="59"/>
        <v>0</v>
      </c>
      <c r="R82" s="500">
        <f t="shared" si="59"/>
        <v>0</v>
      </c>
      <c r="S82" s="563">
        <f t="shared" si="59"/>
        <v>0</v>
      </c>
    </row>
    <row r="83" spans="1:19" hidden="1">
      <c r="A83" s="183">
        <f>'Income &amp; OpEx'!A88</f>
        <v>6537</v>
      </c>
      <c r="B83" s="186" t="str">
        <f>'Income &amp; OpEx'!B88</f>
        <v xml:space="preserve"> Grounds Contract</v>
      </c>
      <c r="C83" s="186"/>
      <c r="D83" s="186"/>
      <c r="E83" s="567">
        <f>'Income &amp; OpEx'!O88</f>
        <v>0</v>
      </c>
      <c r="F83" s="500">
        <f t="shared" ref="F83:S83" si="60">+E83*$M$154</f>
        <v>0</v>
      </c>
      <c r="G83" s="500">
        <f t="shared" si="60"/>
        <v>0</v>
      </c>
      <c r="H83" s="500">
        <f t="shared" si="60"/>
        <v>0</v>
      </c>
      <c r="I83" s="500">
        <f t="shared" si="60"/>
        <v>0</v>
      </c>
      <c r="J83" s="500">
        <f t="shared" si="60"/>
        <v>0</v>
      </c>
      <c r="K83" s="500">
        <f t="shared" si="60"/>
        <v>0</v>
      </c>
      <c r="L83" s="500">
        <f t="shared" si="60"/>
        <v>0</v>
      </c>
      <c r="M83" s="500">
        <f t="shared" si="60"/>
        <v>0</v>
      </c>
      <c r="N83" s="500">
        <f t="shared" si="60"/>
        <v>0</v>
      </c>
      <c r="O83" s="500">
        <f t="shared" si="60"/>
        <v>0</v>
      </c>
      <c r="P83" s="500">
        <f t="shared" si="60"/>
        <v>0</v>
      </c>
      <c r="Q83" s="500">
        <f t="shared" si="60"/>
        <v>0</v>
      </c>
      <c r="R83" s="500">
        <f t="shared" si="60"/>
        <v>0</v>
      </c>
      <c r="S83" s="563">
        <f t="shared" si="60"/>
        <v>0</v>
      </c>
    </row>
    <row r="84" spans="1:19">
      <c r="A84" s="183">
        <f>'Income &amp; OpEx'!A89</f>
        <v>6540</v>
      </c>
      <c r="B84" s="186" t="str">
        <f>'Income &amp; OpEx'!B89</f>
        <v xml:space="preserve"> Repairs/Maintenance Payroll</v>
      </c>
      <c r="C84" s="186"/>
      <c r="D84" s="186"/>
      <c r="E84" s="567">
        <f>'Income &amp; OpEx'!O89</f>
        <v>30000</v>
      </c>
      <c r="F84" s="500">
        <f t="shared" ref="F84:S84" si="61">+E84*$M$154</f>
        <v>30900</v>
      </c>
      <c r="G84" s="500">
        <f t="shared" si="61"/>
        <v>31827</v>
      </c>
      <c r="H84" s="500">
        <f t="shared" si="61"/>
        <v>32781.81</v>
      </c>
      <c r="I84" s="500">
        <f t="shared" si="61"/>
        <v>33765.264299999995</v>
      </c>
      <c r="J84" s="500">
        <f t="shared" si="61"/>
        <v>34778.222228999999</v>
      </c>
      <c r="K84" s="500">
        <f t="shared" si="61"/>
        <v>35821.568895869998</v>
      </c>
      <c r="L84" s="500">
        <f t="shared" si="61"/>
        <v>36896.215962746101</v>
      </c>
      <c r="M84" s="500">
        <f t="shared" si="61"/>
        <v>38003.102441628485</v>
      </c>
      <c r="N84" s="500">
        <f t="shared" si="61"/>
        <v>39143.195514877341</v>
      </c>
      <c r="O84" s="500">
        <f t="shared" si="61"/>
        <v>40317.491380323663</v>
      </c>
      <c r="P84" s="500">
        <f t="shared" si="61"/>
        <v>41527.016121733373</v>
      </c>
      <c r="Q84" s="500">
        <f t="shared" si="61"/>
        <v>42772.826605385373</v>
      </c>
      <c r="R84" s="500">
        <f t="shared" si="61"/>
        <v>44056.011403546938</v>
      </c>
      <c r="S84" s="563">
        <f t="shared" si="61"/>
        <v>45377.691745653348</v>
      </c>
    </row>
    <row r="85" spans="1:19">
      <c r="A85" s="183">
        <f>'Income &amp; OpEx'!A90</f>
        <v>6541</v>
      </c>
      <c r="B85" s="186" t="str">
        <f>'Income &amp; OpEx'!B90</f>
        <v xml:space="preserve"> Repairs/Maint. Mat.&amp; Supplies</v>
      </c>
      <c r="C85" s="186"/>
      <c r="D85" s="186"/>
      <c r="E85" s="567">
        <f>'Income &amp; OpEx'!O90</f>
        <v>0</v>
      </c>
      <c r="F85" s="500">
        <f t="shared" ref="F85:S85" si="62">+E85*$M$154</f>
        <v>0</v>
      </c>
      <c r="G85" s="500">
        <f t="shared" si="62"/>
        <v>0</v>
      </c>
      <c r="H85" s="500">
        <f t="shared" si="62"/>
        <v>0</v>
      </c>
      <c r="I85" s="500">
        <f t="shared" si="62"/>
        <v>0</v>
      </c>
      <c r="J85" s="500">
        <f t="shared" si="62"/>
        <v>0</v>
      </c>
      <c r="K85" s="500">
        <f t="shared" si="62"/>
        <v>0</v>
      </c>
      <c r="L85" s="500">
        <f t="shared" si="62"/>
        <v>0</v>
      </c>
      <c r="M85" s="500">
        <f t="shared" si="62"/>
        <v>0</v>
      </c>
      <c r="N85" s="500">
        <f t="shared" si="62"/>
        <v>0</v>
      </c>
      <c r="O85" s="500">
        <f t="shared" si="62"/>
        <v>0</v>
      </c>
      <c r="P85" s="500">
        <f t="shared" si="62"/>
        <v>0</v>
      </c>
      <c r="Q85" s="500">
        <f t="shared" si="62"/>
        <v>0</v>
      </c>
      <c r="R85" s="500">
        <f t="shared" si="62"/>
        <v>0</v>
      </c>
      <c r="S85" s="563">
        <f t="shared" si="62"/>
        <v>0</v>
      </c>
    </row>
    <row r="86" spans="1:19">
      <c r="A86" s="183">
        <f>'Income &amp; OpEx'!A91</f>
        <v>6542</v>
      </c>
      <c r="B86" s="186" t="str">
        <f>'Income &amp; OpEx'!B91</f>
        <v xml:space="preserve"> Repairs/Maint. Contract</v>
      </c>
      <c r="C86" s="186"/>
      <c r="D86" s="186"/>
      <c r="E86" s="567">
        <f>'Income &amp; OpEx'!O91</f>
        <v>0</v>
      </c>
      <c r="F86" s="500">
        <f t="shared" ref="F86:S86" si="63">+E86*$M$154</f>
        <v>0</v>
      </c>
      <c r="G86" s="500">
        <f t="shared" si="63"/>
        <v>0</v>
      </c>
      <c r="H86" s="500">
        <f t="shared" si="63"/>
        <v>0</v>
      </c>
      <c r="I86" s="500">
        <f t="shared" si="63"/>
        <v>0</v>
      </c>
      <c r="J86" s="500">
        <f t="shared" si="63"/>
        <v>0</v>
      </c>
      <c r="K86" s="500">
        <f t="shared" si="63"/>
        <v>0</v>
      </c>
      <c r="L86" s="500">
        <f t="shared" si="63"/>
        <v>0</v>
      </c>
      <c r="M86" s="500">
        <f t="shared" si="63"/>
        <v>0</v>
      </c>
      <c r="N86" s="500">
        <f t="shared" si="63"/>
        <v>0</v>
      </c>
      <c r="O86" s="500">
        <f t="shared" si="63"/>
        <v>0</v>
      </c>
      <c r="P86" s="500">
        <f t="shared" si="63"/>
        <v>0</v>
      </c>
      <c r="Q86" s="500">
        <f t="shared" si="63"/>
        <v>0</v>
      </c>
      <c r="R86" s="500">
        <f t="shared" si="63"/>
        <v>0</v>
      </c>
      <c r="S86" s="563">
        <f t="shared" si="63"/>
        <v>0</v>
      </c>
    </row>
    <row r="87" spans="1:19" hidden="1">
      <c r="A87" s="183">
        <f>'Income &amp; OpEx'!A92</f>
        <v>6543</v>
      </c>
      <c r="B87" s="186" t="str">
        <f>'Income &amp; OpEx'!B92</f>
        <v xml:space="preserve"> Appliances</v>
      </c>
      <c r="C87" s="186"/>
      <c r="D87" s="186"/>
      <c r="E87" s="567">
        <f>'Income &amp; OpEx'!O92</f>
        <v>0</v>
      </c>
      <c r="F87" s="500">
        <f t="shared" ref="F87:S87" si="64">+E87*$M$154</f>
        <v>0</v>
      </c>
      <c r="G87" s="500">
        <f t="shared" si="64"/>
        <v>0</v>
      </c>
      <c r="H87" s="500">
        <f t="shared" si="64"/>
        <v>0</v>
      </c>
      <c r="I87" s="500">
        <f t="shared" si="64"/>
        <v>0</v>
      </c>
      <c r="J87" s="500">
        <f t="shared" si="64"/>
        <v>0</v>
      </c>
      <c r="K87" s="500">
        <f t="shared" si="64"/>
        <v>0</v>
      </c>
      <c r="L87" s="500">
        <f t="shared" si="64"/>
        <v>0</v>
      </c>
      <c r="M87" s="500">
        <f t="shared" si="64"/>
        <v>0</v>
      </c>
      <c r="N87" s="500">
        <f t="shared" si="64"/>
        <v>0</v>
      </c>
      <c r="O87" s="500">
        <f t="shared" si="64"/>
        <v>0</v>
      </c>
      <c r="P87" s="500">
        <f t="shared" si="64"/>
        <v>0</v>
      </c>
      <c r="Q87" s="500">
        <f t="shared" si="64"/>
        <v>0</v>
      </c>
      <c r="R87" s="500">
        <f t="shared" si="64"/>
        <v>0</v>
      </c>
      <c r="S87" s="563">
        <f t="shared" si="64"/>
        <v>0</v>
      </c>
    </row>
    <row r="88" spans="1:19" hidden="1">
      <c r="A88" s="183">
        <f>'Income &amp; OpEx'!A93</f>
        <v>6545</v>
      </c>
      <c r="B88" s="186" t="str">
        <f>'Income &amp; OpEx'!B93</f>
        <v xml:space="preserve"> Elevator Maint./Contract</v>
      </c>
      <c r="C88" s="186"/>
      <c r="D88" s="186"/>
      <c r="E88" s="567">
        <f>'Income &amp; OpEx'!O93</f>
        <v>0</v>
      </c>
      <c r="F88" s="500">
        <f t="shared" ref="F88:S88" si="65">+E88*$M$154</f>
        <v>0</v>
      </c>
      <c r="G88" s="500">
        <f t="shared" si="65"/>
        <v>0</v>
      </c>
      <c r="H88" s="500">
        <f t="shared" si="65"/>
        <v>0</v>
      </c>
      <c r="I88" s="500">
        <f t="shared" si="65"/>
        <v>0</v>
      </c>
      <c r="J88" s="500">
        <f t="shared" si="65"/>
        <v>0</v>
      </c>
      <c r="K88" s="500">
        <f t="shared" si="65"/>
        <v>0</v>
      </c>
      <c r="L88" s="500">
        <f t="shared" si="65"/>
        <v>0</v>
      </c>
      <c r="M88" s="500">
        <f t="shared" si="65"/>
        <v>0</v>
      </c>
      <c r="N88" s="500">
        <f t="shared" si="65"/>
        <v>0</v>
      </c>
      <c r="O88" s="500">
        <f t="shared" si="65"/>
        <v>0</v>
      </c>
      <c r="P88" s="500">
        <f t="shared" si="65"/>
        <v>0</v>
      </c>
      <c r="Q88" s="500">
        <f t="shared" si="65"/>
        <v>0</v>
      </c>
      <c r="R88" s="500">
        <f t="shared" si="65"/>
        <v>0</v>
      </c>
      <c r="S88" s="563">
        <f t="shared" si="65"/>
        <v>0</v>
      </c>
    </row>
    <row r="89" spans="1:19" hidden="1">
      <c r="A89" s="183">
        <f>'Income &amp; OpEx'!A94</f>
        <v>6546</v>
      </c>
      <c r="B89" s="186" t="str">
        <f>'Income &amp; OpEx'!B94</f>
        <v xml:space="preserve"> Heat/Cooling Repairs</v>
      </c>
      <c r="C89" s="186"/>
      <c r="D89" s="186"/>
      <c r="E89" s="567">
        <f>'Income &amp; OpEx'!O94</f>
        <v>0</v>
      </c>
      <c r="F89" s="500">
        <f t="shared" ref="F89:S89" si="66">+E89*$M$154</f>
        <v>0</v>
      </c>
      <c r="G89" s="500">
        <f t="shared" si="66"/>
        <v>0</v>
      </c>
      <c r="H89" s="500">
        <f t="shared" si="66"/>
        <v>0</v>
      </c>
      <c r="I89" s="500">
        <f t="shared" si="66"/>
        <v>0</v>
      </c>
      <c r="J89" s="500">
        <f t="shared" si="66"/>
        <v>0</v>
      </c>
      <c r="K89" s="500">
        <f t="shared" si="66"/>
        <v>0</v>
      </c>
      <c r="L89" s="500">
        <f t="shared" si="66"/>
        <v>0</v>
      </c>
      <c r="M89" s="500">
        <f t="shared" si="66"/>
        <v>0</v>
      </c>
      <c r="N89" s="500">
        <f t="shared" si="66"/>
        <v>0</v>
      </c>
      <c r="O89" s="500">
        <f t="shared" si="66"/>
        <v>0</v>
      </c>
      <c r="P89" s="500">
        <f t="shared" si="66"/>
        <v>0</v>
      </c>
      <c r="Q89" s="500">
        <f t="shared" si="66"/>
        <v>0</v>
      </c>
      <c r="R89" s="500">
        <f t="shared" si="66"/>
        <v>0</v>
      </c>
      <c r="S89" s="563">
        <f t="shared" si="66"/>
        <v>0</v>
      </c>
    </row>
    <row r="90" spans="1:19" hidden="1">
      <c r="A90" s="183">
        <f>'Income &amp; OpEx'!A95</f>
        <v>6547</v>
      </c>
      <c r="B90" s="186" t="str">
        <f>'Income &amp; OpEx'!B95</f>
        <v xml:space="preserve"> Swim Pool Maint/Contract</v>
      </c>
      <c r="C90" s="186"/>
      <c r="D90" s="186"/>
      <c r="E90" s="567">
        <f>'Income &amp; OpEx'!O95</f>
        <v>0</v>
      </c>
      <c r="F90" s="500">
        <f t="shared" ref="F90:S90" si="67">+E90*$M$154</f>
        <v>0</v>
      </c>
      <c r="G90" s="500">
        <f t="shared" si="67"/>
        <v>0</v>
      </c>
      <c r="H90" s="500">
        <f t="shared" si="67"/>
        <v>0</v>
      </c>
      <c r="I90" s="500">
        <f t="shared" si="67"/>
        <v>0</v>
      </c>
      <c r="J90" s="500">
        <f t="shared" si="67"/>
        <v>0</v>
      </c>
      <c r="K90" s="500">
        <f t="shared" si="67"/>
        <v>0</v>
      </c>
      <c r="L90" s="500">
        <f t="shared" si="67"/>
        <v>0</v>
      </c>
      <c r="M90" s="500">
        <f t="shared" si="67"/>
        <v>0</v>
      </c>
      <c r="N90" s="500">
        <f t="shared" si="67"/>
        <v>0</v>
      </c>
      <c r="O90" s="500">
        <f t="shared" si="67"/>
        <v>0</v>
      </c>
      <c r="P90" s="500">
        <f t="shared" si="67"/>
        <v>0</v>
      </c>
      <c r="Q90" s="500">
        <f t="shared" si="67"/>
        <v>0</v>
      </c>
      <c r="R90" s="500">
        <f t="shared" si="67"/>
        <v>0</v>
      </c>
      <c r="S90" s="563">
        <f t="shared" si="67"/>
        <v>0</v>
      </c>
    </row>
    <row r="91" spans="1:19" hidden="1">
      <c r="A91" s="183">
        <f>'Income &amp; OpEx'!A96</f>
        <v>6548</v>
      </c>
      <c r="B91" s="186" t="str">
        <f>'Income &amp; OpEx'!B96</f>
        <v xml:space="preserve"> Snow Removal</v>
      </c>
      <c r="C91" s="186"/>
      <c r="D91" s="186"/>
      <c r="E91" s="567">
        <f>'Income &amp; OpEx'!O96</f>
        <v>0</v>
      </c>
      <c r="F91" s="500">
        <f t="shared" ref="F91:S91" si="68">+E91*$M$154</f>
        <v>0</v>
      </c>
      <c r="G91" s="500">
        <f t="shared" si="68"/>
        <v>0</v>
      </c>
      <c r="H91" s="500">
        <f t="shared" si="68"/>
        <v>0</v>
      </c>
      <c r="I91" s="500">
        <f t="shared" si="68"/>
        <v>0</v>
      </c>
      <c r="J91" s="500">
        <f t="shared" si="68"/>
        <v>0</v>
      </c>
      <c r="K91" s="500">
        <f t="shared" si="68"/>
        <v>0</v>
      </c>
      <c r="L91" s="500">
        <f t="shared" si="68"/>
        <v>0</v>
      </c>
      <c r="M91" s="500">
        <f t="shared" si="68"/>
        <v>0</v>
      </c>
      <c r="N91" s="500">
        <f t="shared" si="68"/>
        <v>0</v>
      </c>
      <c r="O91" s="500">
        <f t="shared" si="68"/>
        <v>0</v>
      </c>
      <c r="P91" s="500">
        <f t="shared" si="68"/>
        <v>0</v>
      </c>
      <c r="Q91" s="500">
        <f t="shared" si="68"/>
        <v>0</v>
      </c>
      <c r="R91" s="500">
        <f t="shared" si="68"/>
        <v>0</v>
      </c>
      <c r="S91" s="563">
        <f t="shared" si="68"/>
        <v>0</v>
      </c>
    </row>
    <row r="92" spans="1:19" hidden="1">
      <c r="A92" s="183">
        <f>'Income &amp; OpEx'!A97</f>
        <v>6560</v>
      </c>
      <c r="B92" s="186" t="str">
        <f>'Income &amp; OpEx'!B97</f>
        <v xml:space="preserve"> Decorating Contract</v>
      </c>
      <c r="C92" s="186"/>
      <c r="D92" s="186"/>
      <c r="E92" s="567">
        <f>'Income &amp; OpEx'!O97</f>
        <v>0</v>
      </c>
      <c r="F92" s="500">
        <f t="shared" ref="F92:S92" si="69">+E92*$M$154</f>
        <v>0</v>
      </c>
      <c r="G92" s="500">
        <f t="shared" si="69"/>
        <v>0</v>
      </c>
      <c r="H92" s="500">
        <f t="shared" si="69"/>
        <v>0</v>
      </c>
      <c r="I92" s="500">
        <f t="shared" si="69"/>
        <v>0</v>
      </c>
      <c r="J92" s="500">
        <f t="shared" si="69"/>
        <v>0</v>
      </c>
      <c r="K92" s="500">
        <f t="shared" si="69"/>
        <v>0</v>
      </c>
      <c r="L92" s="500">
        <f t="shared" si="69"/>
        <v>0</v>
      </c>
      <c r="M92" s="500">
        <f t="shared" si="69"/>
        <v>0</v>
      </c>
      <c r="N92" s="500">
        <f t="shared" si="69"/>
        <v>0</v>
      </c>
      <c r="O92" s="500">
        <f t="shared" si="69"/>
        <v>0</v>
      </c>
      <c r="P92" s="500">
        <f t="shared" si="69"/>
        <v>0</v>
      </c>
      <c r="Q92" s="500">
        <f t="shared" si="69"/>
        <v>0</v>
      </c>
      <c r="R92" s="500">
        <f t="shared" si="69"/>
        <v>0</v>
      </c>
      <c r="S92" s="563">
        <f t="shared" si="69"/>
        <v>0</v>
      </c>
    </row>
    <row r="93" spans="1:19" hidden="1">
      <c r="A93" s="183">
        <f>'Income &amp; OpEx'!A98</f>
        <v>6561</v>
      </c>
      <c r="B93" s="186" t="str">
        <f>'Income &amp; OpEx'!B98</f>
        <v xml:space="preserve"> Decorating Supplies/Materials</v>
      </c>
      <c r="C93" s="186"/>
      <c r="D93" s="186"/>
      <c r="E93" s="567">
        <f>'Income &amp; OpEx'!O98</f>
        <v>0</v>
      </c>
      <c r="F93" s="500">
        <f t="shared" ref="F93:S93" si="70">+E93*$M$154</f>
        <v>0</v>
      </c>
      <c r="G93" s="500">
        <f t="shared" si="70"/>
        <v>0</v>
      </c>
      <c r="H93" s="500">
        <f t="shared" si="70"/>
        <v>0</v>
      </c>
      <c r="I93" s="500">
        <f t="shared" si="70"/>
        <v>0</v>
      </c>
      <c r="J93" s="500">
        <f t="shared" si="70"/>
        <v>0</v>
      </c>
      <c r="K93" s="500">
        <f t="shared" si="70"/>
        <v>0</v>
      </c>
      <c r="L93" s="500">
        <f t="shared" si="70"/>
        <v>0</v>
      </c>
      <c r="M93" s="500">
        <f t="shared" si="70"/>
        <v>0</v>
      </c>
      <c r="N93" s="500">
        <f t="shared" si="70"/>
        <v>0</v>
      </c>
      <c r="O93" s="500">
        <f t="shared" si="70"/>
        <v>0</v>
      </c>
      <c r="P93" s="500">
        <f t="shared" si="70"/>
        <v>0</v>
      </c>
      <c r="Q93" s="500">
        <f t="shared" si="70"/>
        <v>0</v>
      </c>
      <c r="R93" s="500">
        <f t="shared" si="70"/>
        <v>0</v>
      </c>
      <c r="S93" s="563">
        <f t="shared" si="70"/>
        <v>0</v>
      </c>
    </row>
    <row r="94" spans="1:19">
      <c r="A94" s="183">
        <f>'Income &amp; OpEx'!A99</f>
        <v>6570</v>
      </c>
      <c r="B94" s="186" t="str">
        <f>'Income &amp; OpEx'!B99</f>
        <v xml:space="preserve"> Vehicle Maint/Repairs/Lease/Mi</v>
      </c>
      <c r="C94" s="186"/>
      <c r="D94" s="186"/>
      <c r="E94" s="567">
        <f>'Income &amp; OpEx'!O99</f>
        <v>0</v>
      </c>
      <c r="F94" s="500">
        <f t="shared" ref="F94:S94" si="71">+E94*$M$154</f>
        <v>0</v>
      </c>
      <c r="G94" s="500">
        <f t="shared" si="71"/>
        <v>0</v>
      </c>
      <c r="H94" s="500">
        <f t="shared" si="71"/>
        <v>0</v>
      </c>
      <c r="I94" s="500">
        <f t="shared" si="71"/>
        <v>0</v>
      </c>
      <c r="J94" s="500">
        <f t="shared" si="71"/>
        <v>0</v>
      </c>
      <c r="K94" s="500">
        <f t="shared" si="71"/>
        <v>0</v>
      </c>
      <c r="L94" s="500">
        <f t="shared" si="71"/>
        <v>0</v>
      </c>
      <c r="M94" s="500">
        <f t="shared" si="71"/>
        <v>0</v>
      </c>
      <c r="N94" s="500">
        <f t="shared" si="71"/>
        <v>0</v>
      </c>
      <c r="O94" s="500">
        <f t="shared" si="71"/>
        <v>0</v>
      </c>
      <c r="P94" s="500">
        <f t="shared" si="71"/>
        <v>0</v>
      </c>
      <c r="Q94" s="500">
        <f t="shared" si="71"/>
        <v>0</v>
      </c>
      <c r="R94" s="500">
        <f t="shared" si="71"/>
        <v>0</v>
      </c>
      <c r="S94" s="563">
        <f t="shared" si="71"/>
        <v>0</v>
      </c>
    </row>
    <row r="95" spans="1:19" hidden="1">
      <c r="A95" s="183">
        <f>'Income &amp; OpEx'!A100</f>
        <v>6590</v>
      </c>
      <c r="B95" s="186" t="str">
        <f>'Income &amp; OpEx'!B100</f>
        <v xml:space="preserve"> Misc. Maint./Operating</v>
      </c>
      <c r="C95" s="186"/>
      <c r="D95" s="186"/>
      <c r="E95" s="635">
        <f>'Income &amp; OpEx'!O100</f>
        <v>0</v>
      </c>
      <c r="F95" s="636">
        <f t="shared" ref="F95:S95" si="72">+E95*$M$154</f>
        <v>0</v>
      </c>
      <c r="G95" s="636">
        <f t="shared" si="72"/>
        <v>0</v>
      </c>
      <c r="H95" s="636">
        <f t="shared" si="72"/>
        <v>0</v>
      </c>
      <c r="I95" s="636">
        <f t="shared" si="72"/>
        <v>0</v>
      </c>
      <c r="J95" s="636">
        <f t="shared" si="72"/>
        <v>0</v>
      </c>
      <c r="K95" s="636">
        <f t="shared" si="72"/>
        <v>0</v>
      </c>
      <c r="L95" s="636">
        <f t="shared" si="72"/>
        <v>0</v>
      </c>
      <c r="M95" s="636">
        <f t="shared" si="72"/>
        <v>0</v>
      </c>
      <c r="N95" s="636">
        <f t="shared" si="72"/>
        <v>0</v>
      </c>
      <c r="O95" s="636">
        <f t="shared" si="72"/>
        <v>0</v>
      </c>
      <c r="P95" s="636">
        <f t="shared" si="72"/>
        <v>0</v>
      </c>
      <c r="Q95" s="636">
        <f t="shared" si="72"/>
        <v>0</v>
      </c>
      <c r="R95" s="636">
        <f t="shared" si="72"/>
        <v>0</v>
      </c>
      <c r="S95" s="643">
        <f t="shared" si="72"/>
        <v>0</v>
      </c>
    </row>
    <row r="96" spans="1:19">
      <c r="A96" s="183"/>
      <c r="B96" s="175"/>
      <c r="C96" s="175"/>
      <c r="D96" s="175"/>
      <c r="E96" s="1566">
        <f>SUM(E73:E95)</f>
        <v>30000</v>
      </c>
      <c r="F96" s="1566">
        <f t="shared" ref="F96:S96" si="73">SUM(F73:F95)</f>
        <v>30900</v>
      </c>
      <c r="G96" s="1566">
        <f t="shared" si="73"/>
        <v>31827</v>
      </c>
      <c r="H96" s="1566">
        <f t="shared" si="73"/>
        <v>32781.81</v>
      </c>
      <c r="I96" s="1566">
        <f t="shared" si="73"/>
        <v>33765.264299999995</v>
      </c>
      <c r="J96" s="1566">
        <f t="shared" si="73"/>
        <v>34778.222228999999</v>
      </c>
      <c r="K96" s="1566">
        <f t="shared" si="73"/>
        <v>35821.568895869998</v>
      </c>
      <c r="L96" s="1566">
        <f t="shared" si="73"/>
        <v>36896.215962746101</v>
      </c>
      <c r="M96" s="1566">
        <f t="shared" si="73"/>
        <v>38003.102441628485</v>
      </c>
      <c r="N96" s="1566">
        <f t="shared" si="73"/>
        <v>39143.195514877341</v>
      </c>
      <c r="O96" s="1566">
        <f t="shared" si="73"/>
        <v>40317.491380323663</v>
      </c>
      <c r="P96" s="1566">
        <f t="shared" si="73"/>
        <v>41527.016121733373</v>
      </c>
      <c r="Q96" s="1566">
        <f t="shared" si="73"/>
        <v>42772.826605385373</v>
      </c>
      <c r="R96" s="1566">
        <f t="shared" si="73"/>
        <v>44056.011403546938</v>
      </c>
      <c r="S96" s="1584">
        <f t="shared" si="73"/>
        <v>45377.691745653348</v>
      </c>
    </row>
    <row r="97" spans="1:19">
      <c r="A97" s="183"/>
      <c r="B97" s="175"/>
      <c r="C97" s="175"/>
      <c r="D97" s="175"/>
      <c r="E97" s="176"/>
      <c r="S97" s="140"/>
    </row>
    <row r="98" spans="1:19">
      <c r="A98" s="183"/>
      <c r="B98" s="175"/>
      <c r="C98" s="175"/>
      <c r="D98" s="175"/>
      <c r="E98" s="176"/>
      <c r="S98" s="140"/>
    </row>
    <row r="99" spans="1:19">
      <c r="A99" s="183"/>
      <c r="B99" s="181" t="str">
        <f>'Income &amp; OpEx'!B104</f>
        <v>Taxes &amp; Insurance</v>
      </c>
      <c r="C99" s="181"/>
      <c r="D99" s="181"/>
      <c r="E99" s="176"/>
      <c r="S99" s="140"/>
    </row>
    <row r="100" spans="1:19">
      <c r="A100" s="183">
        <f>'Income &amp; OpEx'!A105</f>
        <v>6710</v>
      </c>
      <c r="B100" s="186" t="str">
        <f>'Income &amp; OpEx'!B105</f>
        <v xml:space="preserve"> Real Estate Taxes</v>
      </c>
      <c r="C100" s="186"/>
      <c r="D100" s="186"/>
      <c r="E100" s="567">
        <f>'Income &amp; OpEx'!O105</f>
        <v>0</v>
      </c>
      <c r="F100" s="500">
        <f t="shared" ref="F100:S100" si="74">+E100*$M$154</f>
        <v>0</v>
      </c>
      <c r="G100" s="500">
        <f t="shared" si="74"/>
        <v>0</v>
      </c>
      <c r="H100" s="500">
        <f t="shared" si="74"/>
        <v>0</v>
      </c>
      <c r="I100" s="500">
        <f t="shared" si="74"/>
        <v>0</v>
      </c>
      <c r="J100" s="500">
        <f t="shared" si="74"/>
        <v>0</v>
      </c>
      <c r="K100" s="500">
        <f t="shared" si="74"/>
        <v>0</v>
      </c>
      <c r="L100" s="500">
        <f t="shared" si="74"/>
        <v>0</v>
      </c>
      <c r="M100" s="500">
        <f t="shared" si="74"/>
        <v>0</v>
      </c>
      <c r="N100" s="500">
        <f t="shared" si="74"/>
        <v>0</v>
      </c>
      <c r="O100" s="500">
        <f t="shared" si="74"/>
        <v>0</v>
      </c>
      <c r="P100" s="500">
        <f t="shared" si="74"/>
        <v>0</v>
      </c>
      <c r="Q100" s="500">
        <f t="shared" si="74"/>
        <v>0</v>
      </c>
      <c r="R100" s="500">
        <f t="shared" si="74"/>
        <v>0</v>
      </c>
      <c r="S100" s="563">
        <f t="shared" si="74"/>
        <v>0</v>
      </c>
    </row>
    <row r="101" spans="1:19">
      <c r="A101" s="183">
        <f>'Income &amp; OpEx'!A106</f>
        <v>6711</v>
      </c>
      <c r="B101" s="186" t="str">
        <f>'Income &amp; OpEx'!B106</f>
        <v xml:space="preserve"> Payroll Taxes</v>
      </c>
      <c r="C101" s="186"/>
      <c r="D101" s="186"/>
      <c r="E101" s="567">
        <f>'Income &amp; OpEx'!O106</f>
        <v>2295</v>
      </c>
      <c r="F101" s="500">
        <f t="shared" ref="F101:S101" si="75">+E101*$M$154</f>
        <v>2363.85</v>
      </c>
      <c r="G101" s="500">
        <f t="shared" si="75"/>
        <v>2434.7655</v>
      </c>
      <c r="H101" s="500">
        <f t="shared" si="75"/>
        <v>2507.8084650000001</v>
      </c>
      <c r="I101" s="500">
        <f t="shared" si="75"/>
        <v>2583.0427189500001</v>
      </c>
      <c r="J101" s="500">
        <f t="shared" si="75"/>
        <v>2660.5340005185003</v>
      </c>
      <c r="K101" s="500">
        <f t="shared" si="75"/>
        <v>2740.3500205340556</v>
      </c>
      <c r="L101" s="500">
        <f t="shared" si="75"/>
        <v>2822.5605211500774</v>
      </c>
      <c r="M101" s="500">
        <f t="shared" si="75"/>
        <v>2907.2373367845798</v>
      </c>
      <c r="N101" s="500">
        <f t="shared" si="75"/>
        <v>2994.4544568881174</v>
      </c>
      <c r="O101" s="500">
        <f t="shared" si="75"/>
        <v>3084.2880905947609</v>
      </c>
      <c r="P101" s="500">
        <f t="shared" si="75"/>
        <v>3176.8167333126039</v>
      </c>
      <c r="Q101" s="500">
        <f t="shared" si="75"/>
        <v>3272.1212353119822</v>
      </c>
      <c r="R101" s="500">
        <f t="shared" si="75"/>
        <v>3370.2848723713419</v>
      </c>
      <c r="S101" s="563">
        <f t="shared" si="75"/>
        <v>3471.3934185424823</v>
      </c>
    </row>
    <row r="102" spans="1:19" hidden="1">
      <c r="A102" s="183">
        <f>'Income &amp; OpEx'!A107</f>
        <v>6719</v>
      </c>
      <c r="B102" s="186" t="str">
        <f>'Income &amp; OpEx'!B107</f>
        <v xml:space="preserve"> MiscTaxes/Lic/Dues/Fees/Permit</v>
      </c>
      <c r="C102" s="186"/>
      <c r="D102" s="186"/>
      <c r="E102" s="567">
        <f>'Income &amp; OpEx'!O107</f>
        <v>0</v>
      </c>
      <c r="F102" s="500">
        <f t="shared" ref="F102:S102" si="76">+E102*$M$154</f>
        <v>0</v>
      </c>
      <c r="G102" s="500">
        <f t="shared" si="76"/>
        <v>0</v>
      </c>
      <c r="H102" s="500">
        <f t="shared" si="76"/>
        <v>0</v>
      </c>
      <c r="I102" s="500">
        <f t="shared" si="76"/>
        <v>0</v>
      </c>
      <c r="J102" s="500">
        <f t="shared" si="76"/>
        <v>0</v>
      </c>
      <c r="K102" s="500">
        <f t="shared" si="76"/>
        <v>0</v>
      </c>
      <c r="L102" s="500">
        <f t="shared" si="76"/>
        <v>0</v>
      </c>
      <c r="M102" s="500">
        <f t="shared" si="76"/>
        <v>0</v>
      </c>
      <c r="N102" s="500">
        <f t="shared" si="76"/>
        <v>0</v>
      </c>
      <c r="O102" s="500">
        <f t="shared" si="76"/>
        <v>0</v>
      </c>
      <c r="P102" s="500">
        <f t="shared" si="76"/>
        <v>0</v>
      </c>
      <c r="Q102" s="500">
        <f t="shared" si="76"/>
        <v>0</v>
      </c>
      <c r="R102" s="500">
        <f t="shared" si="76"/>
        <v>0</v>
      </c>
      <c r="S102" s="563">
        <f t="shared" si="76"/>
        <v>0</v>
      </c>
    </row>
    <row r="103" spans="1:19">
      <c r="A103" s="183">
        <f>'Income &amp; OpEx'!A108</f>
        <v>6720</v>
      </c>
      <c r="B103" s="186" t="str">
        <f>'Income &amp; OpEx'!B108</f>
        <v xml:space="preserve"> Property Insurance</v>
      </c>
      <c r="C103" s="186"/>
      <c r="D103" s="186"/>
      <c r="E103" s="567">
        <f>'Income &amp; OpEx'!O108</f>
        <v>0</v>
      </c>
      <c r="F103" s="500">
        <f t="shared" ref="F103:S103" si="77">+E103*$M$154</f>
        <v>0</v>
      </c>
      <c r="G103" s="500">
        <f t="shared" si="77"/>
        <v>0</v>
      </c>
      <c r="H103" s="500">
        <f t="shared" si="77"/>
        <v>0</v>
      </c>
      <c r="I103" s="500">
        <f t="shared" si="77"/>
        <v>0</v>
      </c>
      <c r="J103" s="500">
        <f t="shared" si="77"/>
        <v>0</v>
      </c>
      <c r="K103" s="500">
        <f t="shared" si="77"/>
        <v>0</v>
      </c>
      <c r="L103" s="500">
        <f t="shared" si="77"/>
        <v>0</v>
      </c>
      <c r="M103" s="500">
        <f t="shared" si="77"/>
        <v>0</v>
      </c>
      <c r="N103" s="500">
        <f t="shared" si="77"/>
        <v>0</v>
      </c>
      <c r="O103" s="500">
        <f t="shared" si="77"/>
        <v>0</v>
      </c>
      <c r="P103" s="500">
        <f t="shared" si="77"/>
        <v>0</v>
      </c>
      <c r="Q103" s="500">
        <f t="shared" si="77"/>
        <v>0</v>
      </c>
      <c r="R103" s="500">
        <f t="shared" si="77"/>
        <v>0</v>
      </c>
      <c r="S103" s="563">
        <f t="shared" si="77"/>
        <v>0</v>
      </c>
    </row>
    <row r="104" spans="1:19" hidden="1">
      <c r="A104" s="183">
        <f>'Income &amp; OpEx'!A109</f>
        <v>6721</v>
      </c>
      <c r="B104" s="186" t="str">
        <f>'Income &amp; OpEx'!B109</f>
        <v xml:space="preserve"> Fidelity Bond Insurance</v>
      </c>
      <c r="C104" s="186"/>
      <c r="D104" s="186"/>
      <c r="E104" s="567">
        <f>'Income &amp; OpEx'!O109</f>
        <v>0</v>
      </c>
      <c r="F104" s="500">
        <f t="shared" ref="F104:S104" si="78">+E104*$M$154</f>
        <v>0</v>
      </c>
      <c r="G104" s="500">
        <f t="shared" si="78"/>
        <v>0</v>
      </c>
      <c r="H104" s="500">
        <f t="shared" si="78"/>
        <v>0</v>
      </c>
      <c r="I104" s="500">
        <f t="shared" si="78"/>
        <v>0</v>
      </c>
      <c r="J104" s="500">
        <f t="shared" si="78"/>
        <v>0</v>
      </c>
      <c r="K104" s="500">
        <f t="shared" si="78"/>
        <v>0</v>
      </c>
      <c r="L104" s="500">
        <f t="shared" si="78"/>
        <v>0</v>
      </c>
      <c r="M104" s="500">
        <f t="shared" si="78"/>
        <v>0</v>
      </c>
      <c r="N104" s="500">
        <f t="shared" si="78"/>
        <v>0</v>
      </c>
      <c r="O104" s="500">
        <f t="shared" si="78"/>
        <v>0</v>
      </c>
      <c r="P104" s="500">
        <f t="shared" si="78"/>
        <v>0</v>
      </c>
      <c r="Q104" s="500">
        <f t="shared" si="78"/>
        <v>0</v>
      </c>
      <c r="R104" s="500">
        <f t="shared" si="78"/>
        <v>0</v>
      </c>
      <c r="S104" s="563">
        <f t="shared" si="78"/>
        <v>0</v>
      </c>
    </row>
    <row r="105" spans="1:19">
      <c r="A105" s="183">
        <f>'Income &amp; OpEx'!A110</f>
        <v>6722</v>
      </c>
      <c r="B105" s="186" t="str">
        <f>'Income &amp; OpEx'!B110</f>
        <v xml:space="preserve"> Workmen's Compensation</v>
      </c>
      <c r="C105" s="186"/>
      <c r="D105" s="186"/>
      <c r="E105" s="567">
        <f>'Income &amp; OpEx'!O110</f>
        <v>1800</v>
      </c>
      <c r="F105" s="500">
        <f t="shared" ref="F105:S105" si="79">+E105*$M$154</f>
        <v>1854</v>
      </c>
      <c r="G105" s="500">
        <f t="shared" si="79"/>
        <v>1909.6200000000001</v>
      </c>
      <c r="H105" s="500">
        <f t="shared" si="79"/>
        <v>1966.9086000000002</v>
      </c>
      <c r="I105" s="500">
        <f t="shared" si="79"/>
        <v>2025.9158580000003</v>
      </c>
      <c r="J105" s="500">
        <f t="shared" si="79"/>
        <v>2086.6933337400005</v>
      </c>
      <c r="K105" s="500">
        <f t="shared" si="79"/>
        <v>2149.2941337522007</v>
      </c>
      <c r="L105" s="500">
        <f t="shared" si="79"/>
        <v>2213.7729577647669</v>
      </c>
      <c r="M105" s="500">
        <f t="shared" si="79"/>
        <v>2280.1861464977101</v>
      </c>
      <c r="N105" s="500">
        <f t="shared" si="79"/>
        <v>2348.5917308926414</v>
      </c>
      <c r="O105" s="500">
        <f t="shared" si="79"/>
        <v>2419.0494828194205</v>
      </c>
      <c r="P105" s="500">
        <f t="shared" si="79"/>
        <v>2491.620967304003</v>
      </c>
      <c r="Q105" s="500">
        <f t="shared" si="79"/>
        <v>2566.369596323123</v>
      </c>
      <c r="R105" s="500">
        <f t="shared" si="79"/>
        <v>2643.360684212817</v>
      </c>
      <c r="S105" s="563">
        <f t="shared" si="79"/>
        <v>2722.6615047392015</v>
      </c>
    </row>
    <row r="106" spans="1:19">
      <c r="A106" s="183">
        <f>'Income &amp; OpEx'!A111</f>
        <v>6723</v>
      </c>
      <c r="B106" s="186" t="str">
        <f>'Income &amp; OpEx'!B111</f>
        <v xml:space="preserve"> Health Ins./Other Emp Benefits</v>
      </c>
      <c r="C106" s="186"/>
      <c r="D106" s="186"/>
      <c r="E106" s="567">
        <f>'Income &amp; OpEx'!O111</f>
        <v>0</v>
      </c>
      <c r="F106" s="500">
        <f t="shared" ref="F106:S106" si="80">+E106*$M$154</f>
        <v>0</v>
      </c>
      <c r="G106" s="500">
        <f t="shared" si="80"/>
        <v>0</v>
      </c>
      <c r="H106" s="500">
        <f t="shared" si="80"/>
        <v>0</v>
      </c>
      <c r="I106" s="500">
        <f t="shared" si="80"/>
        <v>0</v>
      </c>
      <c r="J106" s="500">
        <f t="shared" si="80"/>
        <v>0</v>
      </c>
      <c r="K106" s="500">
        <f t="shared" si="80"/>
        <v>0</v>
      </c>
      <c r="L106" s="500">
        <f t="shared" si="80"/>
        <v>0</v>
      </c>
      <c r="M106" s="500">
        <f t="shared" si="80"/>
        <v>0</v>
      </c>
      <c r="N106" s="500">
        <f t="shared" si="80"/>
        <v>0</v>
      </c>
      <c r="O106" s="500">
        <f t="shared" si="80"/>
        <v>0</v>
      </c>
      <c r="P106" s="500">
        <f t="shared" si="80"/>
        <v>0</v>
      </c>
      <c r="Q106" s="500">
        <f t="shared" si="80"/>
        <v>0</v>
      </c>
      <c r="R106" s="500">
        <f t="shared" si="80"/>
        <v>0</v>
      </c>
      <c r="S106" s="563">
        <f t="shared" si="80"/>
        <v>0</v>
      </c>
    </row>
    <row r="107" spans="1:19" hidden="1">
      <c r="A107" s="183">
        <f>'Income &amp; OpEx'!A112</f>
        <v>6729</v>
      </c>
      <c r="B107" s="186" t="str">
        <f>'Income &amp; OpEx'!B112</f>
        <v xml:space="preserve"> Other Insurance</v>
      </c>
      <c r="C107" s="186"/>
      <c r="D107" s="186"/>
      <c r="E107" s="635">
        <f>'Income &amp; OpEx'!O112</f>
        <v>0</v>
      </c>
      <c r="F107" s="636">
        <f t="shared" ref="F107:S107" si="81">+E107*$M$154</f>
        <v>0</v>
      </c>
      <c r="G107" s="636">
        <f t="shared" si="81"/>
        <v>0</v>
      </c>
      <c r="H107" s="636">
        <f t="shared" si="81"/>
        <v>0</v>
      </c>
      <c r="I107" s="636">
        <f t="shared" si="81"/>
        <v>0</v>
      </c>
      <c r="J107" s="636">
        <f t="shared" si="81"/>
        <v>0</v>
      </c>
      <c r="K107" s="636">
        <f t="shared" si="81"/>
        <v>0</v>
      </c>
      <c r="L107" s="636">
        <f t="shared" si="81"/>
        <v>0</v>
      </c>
      <c r="M107" s="636">
        <f t="shared" si="81"/>
        <v>0</v>
      </c>
      <c r="N107" s="636">
        <f t="shared" si="81"/>
        <v>0</v>
      </c>
      <c r="O107" s="636">
        <f t="shared" si="81"/>
        <v>0</v>
      </c>
      <c r="P107" s="636">
        <f t="shared" si="81"/>
        <v>0</v>
      </c>
      <c r="Q107" s="636">
        <f t="shared" si="81"/>
        <v>0</v>
      </c>
      <c r="R107" s="636">
        <f t="shared" si="81"/>
        <v>0</v>
      </c>
      <c r="S107" s="643">
        <f t="shared" si="81"/>
        <v>0</v>
      </c>
    </row>
    <row r="108" spans="1:19">
      <c r="A108" s="183"/>
      <c r="B108" s="175"/>
      <c r="C108" s="175"/>
      <c r="D108" s="175"/>
      <c r="E108" s="1566">
        <f>SUM(E100:E107)</f>
        <v>4095</v>
      </c>
      <c r="F108" s="1566">
        <f t="shared" ref="F108:S108" si="82">SUM(F100:F107)</f>
        <v>4217.8500000000004</v>
      </c>
      <c r="G108" s="1566">
        <f t="shared" si="82"/>
        <v>4344.3855000000003</v>
      </c>
      <c r="H108" s="1566">
        <f t="shared" si="82"/>
        <v>4474.7170650000007</v>
      </c>
      <c r="I108" s="1566">
        <f t="shared" si="82"/>
        <v>4608.9585769500009</v>
      </c>
      <c r="J108" s="1566">
        <f t="shared" si="82"/>
        <v>4747.2273342585013</v>
      </c>
      <c r="K108" s="1566">
        <f t="shared" si="82"/>
        <v>4889.6441542862558</v>
      </c>
      <c r="L108" s="1566">
        <f t="shared" si="82"/>
        <v>5036.3334789148448</v>
      </c>
      <c r="M108" s="1566">
        <f t="shared" si="82"/>
        <v>5187.4234832822895</v>
      </c>
      <c r="N108" s="1566">
        <f t="shared" si="82"/>
        <v>5343.0461877807593</v>
      </c>
      <c r="O108" s="1566">
        <f t="shared" si="82"/>
        <v>5503.337573414181</v>
      </c>
      <c r="P108" s="1566">
        <f t="shared" si="82"/>
        <v>5668.4377006166069</v>
      </c>
      <c r="Q108" s="1566">
        <f t="shared" si="82"/>
        <v>5838.4908316351048</v>
      </c>
      <c r="R108" s="1566">
        <f t="shared" si="82"/>
        <v>6013.6455565841588</v>
      </c>
      <c r="S108" s="1584">
        <f t="shared" si="82"/>
        <v>6194.0549232816838</v>
      </c>
    </row>
    <row r="109" spans="1:19">
      <c r="A109" s="183"/>
      <c r="B109" s="175"/>
      <c r="C109" s="175"/>
      <c r="D109" s="175"/>
      <c r="E109" s="176"/>
      <c r="S109" s="140"/>
    </row>
    <row r="110" spans="1:19">
      <c r="A110" s="183"/>
      <c r="B110" s="181" t="str">
        <f>'Income &amp; OpEx'!B115</f>
        <v>Total operating expenses</v>
      </c>
      <c r="C110" s="181"/>
      <c r="D110" s="181"/>
      <c r="E110" s="566">
        <f>E108+E96+E70+E61</f>
        <v>34095</v>
      </c>
      <c r="F110" s="566">
        <f t="shared" ref="F110:S110" si="83">F108+F96+F70+F61</f>
        <v>35117.85</v>
      </c>
      <c r="G110" s="566">
        <f t="shared" si="83"/>
        <v>36171.385500000004</v>
      </c>
      <c r="H110" s="566">
        <f t="shared" si="83"/>
        <v>37256.527065000002</v>
      </c>
      <c r="I110" s="566">
        <f t="shared" si="83"/>
        <v>38374.222876949992</v>
      </c>
      <c r="J110" s="566">
        <f t="shared" si="83"/>
        <v>39525.449563258502</v>
      </c>
      <c r="K110" s="566">
        <f t="shared" si="83"/>
        <v>40711.21305015625</v>
      </c>
      <c r="L110" s="566">
        <f t="shared" si="83"/>
        <v>41932.549441660944</v>
      </c>
      <c r="M110" s="566">
        <f t="shared" si="83"/>
        <v>43190.525924910777</v>
      </c>
      <c r="N110" s="566">
        <f t="shared" si="83"/>
        <v>44486.241702658102</v>
      </c>
      <c r="O110" s="566">
        <f t="shared" si="83"/>
        <v>45820.828953737844</v>
      </c>
      <c r="P110" s="566">
        <f t="shared" si="83"/>
        <v>47195.453822349984</v>
      </c>
      <c r="Q110" s="566">
        <f t="shared" si="83"/>
        <v>48611.31743702048</v>
      </c>
      <c r="R110" s="566">
        <f t="shared" si="83"/>
        <v>50069.656960131098</v>
      </c>
      <c r="S110" s="647">
        <f t="shared" si="83"/>
        <v>51571.746668935033</v>
      </c>
    </row>
    <row r="111" spans="1:19">
      <c r="A111" s="183"/>
      <c r="B111" s="175"/>
      <c r="C111" s="175"/>
      <c r="D111" s="175"/>
      <c r="E111" s="567"/>
      <c r="F111" s="485"/>
      <c r="G111" s="485"/>
      <c r="H111" s="485"/>
      <c r="I111" s="485"/>
      <c r="J111" s="485"/>
      <c r="K111" s="485"/>
      <c r="L111" s="485"/>
      <c r="M111" s="485"/>
      <c r="N111" s="485"/>
      <c r="O111" s="485"/>
      <c r="P111" s="485"/>
      <c r="Q111" s="485"/>
      <c r="R111" s="485"/>
      <c r="S111" s="555"/>
    </row>
    <row r="112" spans="1:19">
      <c r="A112" s="183"/>
      <c r="B112" s="175" t="str">
        <f>'Income &amp; OpEx'!B234</f>
        <v>Replacement Reserves</v>
      </c>
      <c r="C112" s="175"/>
      <c r="D112" s="175"/>
      <c r="E112" s="567">
        <f>'Income &amp; OpEx'!$O$234</f>
        <v>0</v>
      </c>
      <c r="F112" s="567">
        <f t="shared" ref="F112:S112" si="84">E112*$S$154</f>
        <v>0</v>
      </c>
      <c r="G112" s="567">
        <f t="shared" si="84"/>
        <v>0</v>
      </c>
      <c r="H112" s="567">
        <f t="shared" si="84"/>
        <v>0</v>
      </c>
      <c r="I112" s="567">
        <f t="shared" si="84"/>
        <v>0</v>
      </c>
      <c r="J112" s="567">
        <f t="shared" si="84"/>
        <v>0</v>
      </c>
      <c r="K112" s="567">
        <f t="shared" si="84"/>
        <v>0</v>
      </c>
      <c r="L112" s="567">
        <f t="shared" si="84"/>
        <v>0</v>
      </c>
      <c r="M112" s="567">
        <f t="shared" si="84"/>
        <v>0</v>
      </c>
      <c r="N112" s="567">
        <f t="shared" si="84"/>
        <v>0</v>
      </c>
      <c r="O112" s="567">
        <f t="shared" si="84"/>
        <v>0</v>
      </c>
      <c r="P112" s="567">
        <f t="shared" si="84"/>
        <v>0</v>
      </c>
      <c r="Q112" s="567">
        <f t="shared" si="84"/>
        <v>0</v>
      </c>
      <c r="R112" s="567">
        <f t="shared" si="84"/>
        <v>0</v>
      </c>
      <c r="S112" s="644">
        <f t="shared" si="84"/>
        <v>0</v>
      </c>
    </row>
    <row r="113" spans="1:20">
      <c r="A113" s="183"/>
      <c r="B113" s="175"/>
      <c r="C113" s="175"/>
      <c r="D113" s="175"/>
      <c r="E113" s="567"/>
      <c r="F113" s="485"/>
      <c r="G113" s="485"/>
      <c r="H113" s="485"/>
      <c r="I113" s="485"/>
      <c r="J113" s="485"/>
      <c r="K113" s="485"/>
      <c r="L113" s="485"/>
      <c r="M113" s="485"/>
      <c r="N113" s="485"/>
      <c r="O113" s="485"/>
      <c r="P113" s="485"/>
      <c r="Q113" s="485"/>
      <c r="R113" s="485"/>
      <c r="S113" s="555"/>
    </row>
    <row r="114" spans="1:20">
      <c r="A114" s="183"/>
      <c r="B114" s="637" t="str">
        <f>'Income &amp; OpEx'!B236</f>
        <v>Net Operating Income</v>
      </c>
      <c r="C114" s="637"/>
      <c r="D114" s="637"/>
      <c r="E114" s="773">
        <f>+E37-E110-E112</f>
        <v>-34095</v>
      </c>
      <c r="F114" s="773">
        <f t="shared" ref="F114:S114" si="85">+F37-F110-F112</f>
        <v>-35117.85</v>
      </c>
      <c r="G114" s="773">
        <f t="shared" si="85"/>
        <v>-36171.385500000004</v>
      </c>
      <c r="H114" s="773">
        <f t="shared" si="85"/>
        <v>-37256.527065000002</v>
      </c>
      <c r="I114" s="773">
        <f t="shared" si="85"/>
        <v>-38374.222876949992</v>
      </c>
      <c r="J114" s="773">
        <f t="shared" si="85"/>
        <v>-39525.449563258502</v>
      </c>
      <c r="K114" s="773">
        <f t="shared" si="85"/>
        <v>-40711.21305015625</v>
      </c>
      <c r="L114" s="773">
        <f t="shared" si="85"/>
        <v>-41932.549441660944</v>
      </c>
      <c r="M114" s="773">
        <f t="shared" si="85"/>
        <v>-43190.525924910777</v>
      </c>
      <c r="N114" s="773">
        <f t="shared" si="85"/>
        <v>-44486.241702658102</v>
      </c>
      <c r="O114" s="773">
        <f t="shared" si="85"/>
        <v>-45820.828953737844</v>
      </c>
      <c r="P114" s="773">
        <f t="shared" si="85"/>
        <v>-47195.453822349984</v>
      </c>
      <c r="Q114" s="773">
        <f t="shared" si="85"/>
        <v>-48611.31743702048</v>
      </c>
      <c r="R114" s="773">
        <f t="shared" si="85"/>
        <v>-50069.656960131098</v>
      </c>
      <c r="S114" s="774">
        <f t="shared" si="85"/>
        <v>-51571.746668935033</v>
      </c>
    </row>
    <row r="115" spans="1:20" ht="20.25">
      <c r="A115" s="183"/>
      <c r="B115" s="181"/>
      <c r="C115" s="181"/>
      <c r="D115" s="181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1"/>
    </row>
    <row r="116" spans="1:20">
      <c r="A116" s="183"/>
      <c r="B116" s="204"/>
      <c r="C116" s="204"/>
      <c r="D116" s="204"/>
      <c r="E116" s="175"/>
      <c r="I116" s="101"/>
      <c r="J116" s="165"/>
      <c r="L116" s="101"/>
      <c r="M116" s="165"/>
      <c r="O116" s="101"/>
      <c r="P116" s="165"/>
      <c r="S116" s="140"/>
    </row>
    <row r="117" spans="1:20">
      <c r="A117" s="183"/>
      <c r="B117" s="204"/>
      <c r="C117" s="204"/>
      <c r="D117" s="204"/>
      <c r="E117" s="778" t="str">
        <f>E6</f>
        <v>Year 1</v>
      </c>
      <c r="F117" s="778" t="str">
        <f t="shared" ref="F117:S117" si="86">F6</f>
        <v>Year 2</v>
      </c>
      <c r="G117" s="778" t="str">
        <f t="shared" si="86"/>
        <v>Year 3</v>
      </c>
      <c r="H117" s="778" t="str">
        <f t="shared" si="86"/>
        <v>Year 4</v>
      </c>
      <c r="I117" s="778" t="str">
        <f t="shared" si="86"/>
        <v>Year 5</v>
      </c>
      <c r="J117" s="778" t="str">
        <f t="shared" si="86"/>
        <v>Year 6</v>
      </c>
      <c r="K117" s="778" t="str">
        <f t="shared" si="86"/>
        <v>Year 7</v>
      </c>
      <c r="L117" s="778" t="str">
        <f t="shared" si="86"/>
        <v>Year 8</v>
      </c>
      <c r="M117" s="778" t="str">
        <f t="shared" si="86"/>
        <v>Year 9</v>
      </c>
      <c r="N117" s="778" t="str">
        <f t="shared" si="86"/>
        <v>Year 10</v>
      </c>
      <c r="O117" s="778" t="str">
        <f t="shared" si="86"/>
        <v>Year 11</v>
      </c>
      <c r="P117" s="778" t="str">
        <f t="shared" si="86"/>
        <v>Year 12</v>
      </c>
      <c r="Q117" s="778" t="str">
        <f t="shared" si="86"/>
        <v>Year 13</v>
      </c>
      <c r="R117" s="778" t="str">
        <f t="shared" si="86"/>
        <v>Year 14</v>
      </c>
      <c r="S117" s="783" t="str">
        <f t="shared" si="86"/>
        <v>Year 15</v>
      </c>
    </row>
    <row r="118" spans="1:20" ht="20.25">
      <c r="A118" s="183"/>
      <c r="B118" s="230" t="s">
        <v>1005</v>
      </c>
      <c r="C118" s="230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2"/>
    </row>
    <row r="119" spans="1:20">
      <c r="A119" s="183"/>
      <c r="B119" s="186" t="s">
        <v>1006</v>
      </c>
      <c r="C119" s="769" t="e">
        <f>IF('LIHTC Debt'!C45&gt;0,'LIHTC Debt'!C45,'LIHTC Debt'!F6)</f>
        <v>#DIV/0!</v>
      </c>
      <c r="D119" s="230"/>
      <c r="E119" s="484" t="e">
        <f>'LIHTC Debt'!F12</f>
        <v>#DIV/0!</v>
      </c>
      <c r="F119" s="484" t="str">
        <f>'LIHTC Debt'!F13</f>
        <v/>
      </c>
      <c r="G119" s="484" t="str">
        <f>'LIHTC Debt'!F14</f>
        <v/>
      </c>
      <c r="H119" s="484" t="str">
        <f>'LIHTC Debt'!F15</f>
        <v/>
      </c>
      <c r="I119" s="484" t="str">
        <f>'LIHTC Debt'!F16</f>
        <v/>
      </c>
      <c r="J119" s="484" t="str">
        <f>'LIHTC Debt'!F17</f>
        <v/>
      </c>
      <c r="K119" s="484" t="str">
        <f>'LIHTC Debt'!F18</f>
        <v/>
      </c>
      <c r="L119" s="484" t="str">
        <f>'LIHTC Debt'!F19</f>
        <v/>
      </c>
      <c r="M119" s="484" t="str">
        <f>'LIHTC Debt'!F20</f>
        <v/>
      </c>
      <c r="N119" s="484" t="str">
        <f>'LIHTC Debt'!F21</f>
        <v/>
      </c>
      <c r="O119" s="484" t="str">
        <f>'LIHTC Debt'!F22</f>
        <v/>
      </c>
      <c r="P119" s="484" t="str">
        <f>'LIHTC Debt'!F23</f>
        <v/>
      </c>
      <c r="Q119" s="484" t="str">
        <f>'LIHTC Debt'!F24</f>
        <v/>
      </c>
      <c r="R119" s="484" t="str">
        <f>'LIHTC Debt'!F25</f>
        <v/>
      </c>
      <c r="S119" s="501" t="str">
        <f>'LIHTC Debt'!F26</f>
        <v/>
      </c>
    </row>
    <row r="120" spans="1:20">
      <c r="A120" s="183"/>
      <c r="B120" s="186" t="s">
        <v>330</v>
      </c>
      <c r="C120" s="230"/>
      <c r="D120" s="230"/>
      <c r="E120" s="484" t="e">
        <f>'LIHTC Debt'!I12</f>
        <v>#DIV/0!</v>
      </c>
      <c r="F120" s="484" t="str">
        <f>'LIHTC Debt'!I13</f>
        <v/>
      </c>
      <c r="G120" s="484" t="str">
        <f>'LIHTC Debt'!I14</f>
        <v/>
      </c>
      <c r="H120" s="484" t="str">
        <f>'LIHTC Debt'!I15</f>
        <v/>
      </c>
      <c r="I120" s="484" t="str">
        <f>'LIHTC Debt'!I16</f>
        <v/>
      </c>
      <c r="J120" s="484" t="str">
        <f>'LIHTC Debt'!I17</f>
        <v/>
      </c>
      <c r="K120" s="484" t="str">
        <f>'LIHTC Debt'!I18</f>
        <v/>
      </c>
      <c r="L120" s="484" t="str">
        <f>'LIHTC Debt'!I19</f>
        <v/>
      </c>
      <c r="M120" s="484" t="str">
        <f>'LIHTC Debt'!I20</f>
        <v/>
      </c>
      <c r="N120" s="484" t="str">
        <f>'LIHTC Debt'!I21</f>
        <v/>
      </c>
      <c r="O120" s="484" t="str">
        <f>'LIHTC Debt'!I22</f>
        <v/>
      </c>
      <c r="P120" s="484" t="str">
        <f>'LIHTC Debt'!I23</f>
        <v/>
      </c>
      <c r="Q120" s="484" t="str">
        <f>'LIHTC Debt'!I24</f>
        <v/>
      </c>
      <c r="R120" s="484" t="str">
        <f>'LIHTC Debt'!I25</f>
        <v/>
      </c>
      <c r="S120" s="501" t="str">
        <f>'LIHTC Debt'!I26</f>
        <v/>
      </c>
      <c r="T120" s="24" t="s">
        <v>1007</v>
      </c>
    </row>
    <row r="121" spans="1:20">
      <c r="A121" s="183"/>
      <c r="B121" s="186" t="s">
        <v>329</v>
      </c>
      <c r="C121" s="230"/>
      <c r="D121" s="230"/>
      <c r="E121" s="492" t="e">
        <f>'LIHTC Debt'!H12</f>
        <v>#DIV/0!</v>
      </c>
      <c r="F121" s="492" t="str">
        <f>'LIHTC Debt'!H13</f>
        <v/>
      </c>
      <c r="G121" s="492" t="str">
        <f>'LIHTC Debt'!H14</f>
        <v/>
      </c>
      <c r="H121" s="492" t="str">
        <f>'LIHTC Debt'!H15</f>
        <v/>
      </c>
      <c r="I121" s="492" t="str">
        <f>'LIHTC Debt'!H16</f>
        <v/>
      </c>
      <c r="J121" s="492" t="str">
        <f>'LIHTC Debt'!H17</f>
        <v/>
      </c>
      <c r="K121" s="492" t="str">
        <f>'LIHTC Debt'!H18</f>
        <v/>
      </c>
      <c r="L121" s="492" t="str">
        <f>'LIHTC Debt'!H19</f>
        <v/>
      </c>
      <c r="M121" s="492" t="str">
        <f>'LIHTC Debt'!H20</f>
        <v/>
      </c>
      <c r="N121" s="492" t="str">
        <f>'LIHTC Debt'!H21</f>
        <v/>
      </c>
      <c r="O121" s="492" t="str">
        <f>'LIHTC Debt'!H22</f>
        <v/>
      </c>
      <c r="P121" s="492" t="str">
        <f>'LIHTC Debt'!H23</f>
        <v/>
      </c>
      <c r="Q121" s="492" t="str">
        <f>'LIHTC Debt'!H24</f>
        <v/>
      </c>
      <c r="R121" s="492" t="str">
        <f>'LIHTC Debt'!H25</f>
        <v/>
      </c>
      <c r="S121" s="558" t="str">
        <f>'LIHTC Debt'!H26</f>
        <v/>
      </c>
      <c r="T121" s="24" t="s">
        <v>1008</v>
      </c>
    </row>
    <row r="122" spans="1:20">
      <c r="A122" s="183"/>
      <c r="B122" s="186" t="s">
        <v>1009</v>
      </c>
      <c r="C122" s="788" t="e">
        <f>'LIHTC Debt'!F9</f>
        <v>#DIV/0!</v>
      </c>
      <c r="D122" s="230"/>
      <c r="E122" s="484" t="e">
        <f>SUM(E120:E121)</f>
        <v>#DIV/0!</v>
      </c>
      <c r="F122" s="484">
        <f>SUM(F120:F121)</f>
        <v>0</v>
      </c>
      <c r="G122" s="484">
        <f t="shared" ref="G122:R122" si="87">SUM(G120:G121)</f>
        <v>0</v>
      </c>
      <c r="H122" s="484">
        <f t="shared" si="87"/>
        <v>0</v>
      </c>
      <c r="I122" s="484">
        <f t="shared" si="87"/>
        <v>0</v>
      </c>
      <c r="J122" s="484">
        <f t="shared" si="87"/>
        <v>0</v>
      </c>
      <c r="K122" s="484">
        <f t="shared" si="87"/>
        <v>0</v>
      </c>
      <c r="L122" s="484">
        <f t="shared" si="87"/>
        <v>0</v>
      </c>
      <c r="M122" s="484">
        <f t="shared" si="87"/>
        <v>0</v>
      </c>
      <c r="N122" s="484">
        <f t="shared" si="87"/>
        <v>0</v>
      </c>
      <c r="O122" s="484">
        <f t="shared" si="87"/>
        <v>0</v>
      </c>
      <c r="P122" s="484">
        <f t="shared" si="87"/>
        <v>0</v>
      </c>
      <c r="Q122" s="484">
        <f t="shared" si="87"/>
        <v>0</v>
      </c>
      <c r="R122" s="484">
        <f t="shared" si="87"/>
        <v>0</v>
      </c>
      <c r="S122" s="501">
        <f>SUM(S120:S121)</f>
        <v>0</v>
      </c>
      <c r="T122" s="24" t="s">
        <v>1010</v>
      </c>
    </row>
    <row r="123" spans="1:20">
      <c r="A123" s="183"/>
      <c r="B123" s="233"/>
      <c r="C123" s="785"/>
      <c r="D123" s="230"/>
      <c r="E123" s="732"/>
      <c r="F123" s="732"/>
      <c r="G123" s="732"/>
      <c r="H123" s="732"/>
      <c r="I123" s="732"/>
      <c r="J123" s="732"/>
      <c r="K123" s="732"/>
      <c r="L123" s="732"/>
      <c r="M123" s="732"/>
      <c r="N123" s="732"/>
      <c r="O123" s="732"/>
      <c r="P123" s="732"/>
      <c r="Q123" s="732"/>
      <c r="R123" s="732"/>
      <c r="S123" s="767"/>
    </row>
    <row r="124" spans="1:20" hidden="1">
      <c r="A124" s="183"/>
      <c r="B124" s="233" t="s">
        <v>1011</v>
      </c>
      <c r="C124" s="769">
        <f>IF('LIHTC Exec Summary'!$C$38="Hard Debt 2",'LIHTC Exec Summary'!F38,0)</f>
        <v>0</v>
      </c>
      <c r="D124" s="230"/>
      <c r="E124" s="484">
        <f>$C$124</f>
        <v>0</v>
      </c>
      <c r="F124" s="484">
        <f>E124-E125</f>
        <v>0</v>
      </c>
      <c r="G124" s="484">
        <f>F124-F125</f>
        <v>0</v>
      </c>
      <c r="H124" s="484">
        <f t="shared" ref="H124:S124" si="88">G124-G125</f>
        <v>0</v>
      </c>
      <c r="I124" s="484">
        <f t="shared" si="88"/>
        <v>0</v>
      </c>
      <c r="J124" s="484">
        <f t="shared" si="88"/>
        <v>0</v>
      </c>
      <c r="K124" s="484">
        <f t="shared" si="88"/>
        <v>0</v>
      </c>
      <c r="L124" s="484">
        <f t="shared" si="88"/>
        <v>0</v>
      </c>
      <c r="M124" s="484">
        <f t="shared" si="88"/>
        <v>0</v>
      </c>
      <c r="N124" s="484">
        <f t="shared" si="88"/>
        <v>0</v>
      </c>
      <c r="O124" s="484">
        <f t="shared" si="88"/>
        <v>0</v>
      </c>
      <c r="P124" s="484">
        <f t="shared" si="88"/>
        <v>0</v>
      </c>
      <c r="Q124" s="484">
        <f t="shared" si="88"/>
        <v>0</v>
      </c>
      <c r="R124" s="484">
        <f t="shared" si="88"/>
        <v>0</v>
      </c>
      <c r="S124" s="501">
        <f t="shared" si="88"/>
        <v>0</v>
      </c>
    </row>
    <row r="125" spans="1:20" hidden="1">
      <c r="A125" s="183"/>
      <c r="B125" s="233" t="s">
        <v>330</v>
      </c>
      <c r="C125" s="785"/>
      <c r="D125" s="230"/>
      <c r="E125" s="484">
        <f>E127-E126</f>
        <v>0</v>
      </c>
      <c r="F125" s="484">
        <f>E127-F126</f>
        <v>0</v>
      </c>
      <c r="G125" s="484">
        <f>F127-G126</f>
        <v>0</v>
      </c>
      <c r="H125" s="484">
        <f t="shared" ref="H125:S125" si="89">G127-H126</f>
        <v>0</v>
      </c>
      <c r="I125" s="484">
        <f t="shared" si="89"/>
        <v>0</v>
      </c>
      <c r="J125" s="484">
        <f t="shared" si="89"/>
        <v>0</v>
      </c>
      <c r="K125" s="484">
        <f t="shared" si="89"/>
        <v>0</v>
      </c>
      <c r="L125" s="484">
        <f t="shared" si="89"/>
        <v>0</v>
      </c>
      <c r="M125" s="484">
        <f t="shared" si="89"/>
        <v>0</v>
      </c>
      <c r="N125" s="484">
        <f t="shared" si="89"/>
        <v>0</v>
      </c>
      <c r="O125" s="484">
        <f t="shared" si="89"/>
        <v>0</v>
      </c>
      <c r="P125" s="484">
        <f t="shared" si="89"/>
        <v>0</v>
      </c>
      <c r="Q125" s="484">
        <f t="shared" si="89"/>
        <v>0</v>
      </c>
      <c r="R125" s="484">
        <f t="shared" si="89"/>
        <v>0</v>
      </c>
      <c r="S125" s="501">
        <f t="shared" si="89"/>
        <v>0</v>
      </c>
    </row>
    <row r="126" spans="1:20" hidden="1">
      <c r="A126" s="183"/>
      <c r="B126" s="233" t="s">
        <v>329</v>
      </c>
      <c r="C126" s="787">
        <v>0.02</v>
      </c>
      <c r="D126" s="230"/>
      <c r="E126" s="492">
        <f>$C$126*E124</f>
        <v>0</v>
      </c>
      <c r="F126" s="492">
        <f>$C$126*F124</f>
        <v>0</v>
      </c>
      <c r="G126" s="492">
        <f>$C$126*G124</f>
        <v>0</v>
      </c>
      <c r="H126" s="492">
        <f t="shared" ref="H126:S126" si="90">$C$126*H124</f>
        <v>0</v>
      </c>
      <c r="I126" s="492">
        <f t="shared" si="90"/>
        <v>0</v>
      </c>
      <c r="J126" s="492">
        <f t="shared" si="90"/>
        <v>0</v>
      </c>
      <c r="K126" s="492">
        <f t="shared" si="90"/>
        <v>0</v>
      </c>
      <c r="L126" s="492">
        <f t="shared" si="90"/>
        <v>0</v>
      </c>
      <c r="M126" s="492">
        <f t="shared" si="90"/>
        <v>0</v>
      </c>
      <c r="N126" s="492">
        <f t="shared" si="90"/>
        <v>0</v>
      </c>
      <c r="O126" s="492">
        <f t="shared" si="90"/>
        <v>0</v>
      </c>
      <c r="P126" s="492">
        <f t="shared" si="90"/>
        <v>0</v>
      </c>
      <c r="Q126" s="492">
        <f t="shared" si="90"/>
        <v>0</v>
      </c>
      <c r="R126" s="492">
        <f t="shared" si="90"/>
        <v>0</v>
      </c>
      <c r="S126" s="558">
        <f t="shared" si="90"/>
        <v>0</v>
      </c>
      <c r="T126" s="24"/>
    </row>
    <row r="127" spans="1:20" hidden="1">
      <c r="A127" s="183"/>
      <c r="B127" s="233" t="s">
        <v>1009</v>
      </c>
      <c r="C127" s="785"/>
      <c r="D127" s="230"/>
      <c r="E127" s="484">
        <f>PMT(C126,C128,-C124)</f>
        <v>0</v>
      </c>
      <c r="F127" s="484">
        <f>SUM(F125:F126)</f>
        <v>0</v>
      </c>
      <c r="G127" s="484">
        <f>SUM(G125:G126)</f>
        <v>0</v>
      </c>
      <c r="H127" s="484">
        <f t="shared" ref="H127:S127" si="91">SUM(H125:H126)</f>
        <v>0</v>
      </c>
      <c r="I127" s="484">
        <f t="shared" si="91"/>
        <v>0</v>
      </c>
      <c r="J127" s="484">
        <f t="shared" si="91"/>
        <v>0</v>
      </c>
      <c r="K127" s="484">
        <f t="shared" si="91"/>
        <v>0</v>
      </c>
      <c r="L127" s="484">
        <f t="shared" si="91"/>
        <v>0</v>
      </c>
      <c r="M127" s="484">
        <f t="shared" si="91"/>
        <v>0</v>
      </c>
      <c r="N127" s="484">
        <f t="shared" si="91"/>
        <v>0</v>
      </c>
      <c r="O127" s="484">
        <f t="shared" si="91"/>
        <v>0</v>
      </c>
      <c r="P127" s="484">
        <f t="shared" si="91"/>
        <v>0</v>
      </c>
      <c r="Q127" s="484">
        <f t="shared" si="91"/>
        <v>0</v>
      </c>
      <c r="R127" s="484">
        <f t="shared" si="91"/>
        <v>0</v>
      </c>
      <c r="S127" s="501">
        <f t="shared" si="91"/>
        <v>0</v>
      </c>
      <c r="T127" s="24"/>
    </row>
    <row r="128" spans="1:20" hidden="1">
      <c r="A128" s="183"/>
      <c r="B128" s="233" t="s">
        <v>323</v>
      </c>
      <c r="C128" s="786">
        <v>15</v>
      </c>
      <c r="D128" s="213" t="s">
        <v>1012</v>
      </c>
      <c r="E128" s="732"/>
      <c r="F128" s="732"/>
      <c r="G128" s="732"/>
      <c r="H128" s="732"/>
      <c r="I128" s="732"/>
      <c r="J128" s="732"/>
      <c r="K128" s="732"/>
      <c r="L128" s="732"/>
      <c r="M128" s="732"/>
      <c r="N128" s="732"/>
      <c r="O128" s="732"/>
      <c r="P128" s="732"/>
      <c r="Q128" s="732"/>
      <c r="R128" s="732"/>
      <c r="S128" s="767"/>
      <c r="T128" s="24"/>
    </row>
    <row r="129" spans="1:20">
      <c r="A129" s="183"/>
      <c r="B129" s="233"/>
      <c r="C129" s="785"/>
      <c r="D129" s="230"/>
      <c r="E129" s="732"/>
      <c r="F129" s="732"/>
      <c r="G129" s="732"/>
      <c r="H129" s="732"/>
      <c r="I129" s="732"/>
      <c r="J129" s="732"/>
      <c r="K129" s="732"/>
      <c r="L129" s="732"/>
      <c r="M129" s="732"/>
      <c r="N129" s="732"/>
      <c r="O129" s="732"/>
      <c r="P129" s="732"/>
      <c r="Q129" s="732"/>
      <c r="R129" s="732"/>
      <c r="S129" s="767"/>
      <c r="T129" s="24"/>
    </row>
    <row r="130" spans="1:20">
      <c r="A130" s="183"/>
      <c r="B130" s="230" t="s">
        <v>488</v>
      </c>
      <c r="C130" s="230"/>
      <c r="D130" s="230"/>
      <c r="E130" s="768" t="e">
        <f t="shared" ref="E130:S130" si="92">IF(E122&lt;1,"",E114/(E122+E127))</f>
        <v>#DIV/0!</v>
      </c>
      <c r="F130" s="768" t="str">
        <f t="shared" si="92"/>
        <v/>
      </c>
      <c r="G130" s="768" t="str">
        <f t="shared" si="92"/>
        <v/>
      </c>
      <c r="H130" s="768" t="str">
        <f t="shared" si="92"/>
        <v/>
      </c>
      <c r="I130" s="768" t="str">
        <f t="shared" si="92"/>
        <v/>
      </c>
      <c r="J130" s="768" t="str">
        <f t="shared" si="92"/>
        <v/>
      </c>
      <c r="K130" s="768" t="str">
        <f t="shared" si="92"/>
        <v/>
      </c>
      <c r="L130" s="768" t="str">
        <f t="shared" si="92"/>
        <v/>
      </c>
      <c r="M130" s="768" t="str">
        <f t="shared" si="92"/>
        <v/>
      </c>
      <c r="N130" s="768" t="str">
        <f t="shared" si="92"/>
        <v/>
      </c>
      <c r="O130" s="768" t="str">
        <f t="shared" si="92"/>
        <v/>
      </c>
      <c r="P130" s="768" t="str">
        <f t="shared" si="92"/>
        <v/>
      </c>
      <c r="Q130" s="768" t="str">
        <f t="shared" si="92"/>
        <v/>
      </c>
      <c r="R130" s="768" t="str">
        <f t="shared" si="92"/>
        <v/>
      </c>
      <c r="S130" s="772" t="str">
        <f t="shared" si="92"/>
        <v/>
      </c>
      <c r="T130" s="24" t="s">
        <v>1013</v>
      </c>
    </row>
    <row r="131" spans="1:20">
      <c r="A131" s="183"/>
      <c r="B131" s="230"/>
      <c r="C131" s="230"/>
      <c r="D131" s="230"/>
      <c r="E131" s="768"/>
      <c r="F131" s="768"/>
      <c r="G131" s="768"/>
      <c r="H131" s="768"/>
      <c r="I131" s="768"/>
      <c r="J131" s="768"/>
      <c r="K131" s="768"/>
      <c r="L131" s="768"/>
      <c r="M131" s="768"/>
      <c r="N131" s="768"/>
      <c r="O131" s="768"/>
      <c r="P131" s="768"/>
      <c r="Q131" s="768"/>
      <c r="R131" s="768"/>
      <c r="S131" s="772"/>
      <c r="T131" s="24" t="s">
        <v>1014</v>
      </c>
    </row>
    <row r="132" spans="1:20">
      <c r="A132" s="183"/>
      <c r="B132" s="637" t="s">
        <v>1015</v>
      </c>
      <c r="C132" s="637"/>
      <c r="D132" s="637"/>
      <c r="E132" s="775" t="e">
        <f t="shared" ref="E132:S132" si="93">E114-E122-E127</f>
        <v>#DIV/0!</v>
      </c>
      <c r="F132" s="775">
        <f t="shared" si="93"/>
        <v>-35117.85</v>
      </c>
      <c r="G132" s="775">
        <f t="shared" si="93"/>
        <v>-36171.385500000004</v>
      </c>
      <c r="H132" s="775">
        <f t="shared" si="93"/>
        <v>-37256.527065000002</v>
      </c>
      <c r="I132" s="775">
        <f t="shared" si="93"/>
        <v>-38374.222876949992</v>
      </c>
      <c r="J132" s="775">
        <f t="shared" si="93"/>
        <v>-39525.449563258502</v>
      </c>
      <c r="K132" s="775">
        <f t="shared" si="93"/>
        <v>-40711.21305015625</v>
      </c>
      <c r="L132" s="775">
        <f t="shared" si="93"/>
        <v>-41932.549441660944</v>
      </c>
      <c r="M132" s="775">
        <f t="shared" si="93"/>
        <v>-43190.525924910777</v>
      </c>
      <c r="N132" s="775">
        <f t="shared" si="93"/>
        <v>-44486.241702658102</v>
      </c>
      <c r="O132" s="775">
        <f t="shared" si="93"/>
        <v>-45820.828953737844</v>
      </c>
      <c r="P132" s="775">
        <f t="shared" si="93"/>
        <v>-47195.453822349984</v>
      </c>
      <c r="Q132" s="775">
        <f t="shared" si="93"/>
        <v>-48611.31743702048</v>
      </c>
      <c r="R132" s="775">
        <f t="shared" si="93"/>
        <v>-50069.656960131098</v>
      </c>
      <c r="S132" s="776">
        <f t="shared" si="93"/>
        <v>-51571.746668935033</v>
      </c>
      <c r="T132" s="24" t="s">
        <v>1010</v>
      </c>
    </row>
    <row r="133" spans="1:20">
      <c r="A133" s="183"/>
      <c r="B133" s="230"/>
      <c r="C133" s="230"/>
      <c r="D133" s="230"/>
      <c r="E133" s="484"/>
      <c r="F133" s="484"/>
      <c r="G133" s="484"/>
      <c r="H133" s="484"/>
      <c r="I133" s="484"/>
      <c r="J133" s="484"/>
      <c r="K133" s="484"/>
      <c r="L133" s="484"/>
      <c r="M133" s="484"/>
      <c r="N133" s="484"/>
      <c r="O133" s="484"/>
      <c r="P133" s="484"/>
      <c r="Q133" s="484"/>
      <c r="R133" s="484"/>
      <c r="S133" s="501"/>
    </row>
    <row r="134" spans="1:20" hidden="1">
      <c r="A134" s="183"/>
      <c r="B134" s="213" t="s">
        <v>580</v>
      </c>
      <c r="C134" s="769">
        <f>'LIHTC Exec Summary'!$F$33</f>
        <v>0</v>
      </c>
      <c r="D134" s="230"/>
      <c r="E134" s="484">
        <f>$C$134</f>
        <v>0</v>
      </c>
      <c r="F134" s="484">
        <f>E134-E135</f>
        <v>0</v>
      </c>
      <c r="G134" s="484">
        <f t="shared" ref="G134:S134" si="94">F134-F135</f>
        <v>0</v>
      </c>
      <c r="H134" s="484">
        <f t="shared" si="94"/>
        <v>0</v>
      </c>
      <c r="I134" s="484">
        <f t="shared" si="94"/>
        <v>0</v>
      </c>
      <c r="J134" s="484">
        <f t="shared" si="94"/>
        <v>0</v>
      </c>
      <c r="K134" s="484">
        <f t="shared" si="94"/>
        <v>0</v>
      </c>
      <c r="L134" s="484">
        <f t="shared" si="94"/>
        <v>0</v>
      </c>
      <c r="M134" s="484">
        <f t="shared" si="94"/>
        <v>0</v>
      </c>
      <c r="N134" s="484">
        <f t="shared" si="94"/>
        <v>0</v>
      </c>
      <c r="O134" s="484">
        <f t="shared" si="94"/>
        <v>0</v>
      </c>
      <c r="P134" s="484">
        <f t="shared" si="94"/>
        <v>0</v>
      </c>
      <c r="Q134" s="484">
        <f t="shared" si="94"/>
        <v>0</v>
      </c>
      <c r="R134" s="484">
        <f t="shared" si="94"/>
        <v>0</v>
      </c>
      <c r="S134" s="501">
        <f t="shared" si="94"/>
        <v>0</v>
      </c>
    </row>
    <row r="135" spans="1:20" hidden="1">
      <c r="A135" s="183"/>
      <c r="B135" s="213" t="s">
        <v>330</v>
      </c>
      <c r="C135" s="230"/>
      <c r="D135" s="230"/>
      <c r="E135" s="484">
        <f>E137-E136</f>
        <v>0</v>
      </c>
      <c r="F135" s="484">
        <f>E137-F136</f>
        <v>0</v>
      </c>
      <c r="G135" s="484">
        <f t="shared" ref="G135:S135" si="95">F137-G136</f>
        <v>0</v>
      </c>
      <c r="H135" s="484">
        <f t="shared" si="95"/>
        <v>0</v>
      </c>
      <c r="I135" s="484">
        <f t="shared" si="95"/>
        <v>0</v>
      </c>
      <c r="J135" s="484">
        <f t="shared" si="95"/>
        <v>0</v>
      </c>
      <c r="K135" s="484">
        <f t="shared" si="95"/>
        <v>0</v>
      </c>
      <c r="L135" s="484">
        <f t="shared" si="95"/>
        <v>0</v>
      </c>
      <c r="M135" s="484">
        <f t="shared" si="95"/>
        <v>0</v>
      </c>
      <c r="N135" s="484">
        <f t="shared" si="95"/>
        <v>0</v>
      </c>
      <c r="O135" s="484">
        <f t="shared" si="95"/>
        <v>0</v>
      </c>
      <c r="P135" s="484">
        <f t="shared" si="95"/>
        <v>0</v>
      </c>
      <c r="Q135" s="484">
        <f t="shared" si="95"/>
        <v>0</v>
      </c>
      <c r="R135" s="484">
        <f t="shared" si="95"/>
        <v>0</v>
      </c>
      <c r="S135" s="501">
        <f t="shared" si="95"/>
        <v>0</v>
      </c>
    </row>
    <row r="136" spans="1:20" hidden="1">
      <c r="A136" s="183"/>
      <c r="B136" s="213" t="s">
        <v>329</v>
      </c>
      <c r="C136" s="787">
        <v>0.01</v>
      </c>
      <c r="D136" s="230"/>
      <c r="E136" s="492">
        <f>$C$136*E134</f>
        <v>0</v>
      </c>
      <c r="F136" s="492">
        <f>$C$136*F134</f>
        <v>0</v>
      </c>
      <c r="G136" s="492">
        <f t="shared" ref="G136:S136" si="96">$C$136*G134</f>
        <v>0</v>
      </c>
      <c r="H136" s="492">
        <f t="shared" si="96"/>
        <v>0</v>
      </c>
      <c r="I136" s="492">
        <f t="shared" si="96"/>
        <v>0</v>
      </c>
      <c r="J136" s="492">
        <f t="shared" si="96"/>
        <v>0</v>
      </c>
      <c r="K136" s="492">
        <f t="shared" si="96"/>
        <v>0</v>
      </c>
      <c r="L136" s="492">
        <f t="shared" si="96"/>
        <v>0</v>
      </c>
      <c r="M136" s="492">
        <f t="shared" si="96"/>
        <v>0</v>
      </c>
      <c r="N136" s="492">
        <f t="shared" si="96"/>
        <v>0</v>
      </c>
      <c r="O136" s="492">
        <f t="shared" si="96"/>
        <v>0</v>
      </c>
      <c r="P136" s="492">
        <f t="shared" si="96"/>
        <v>0</v>
      </c>
      <c r="Q136" s="492">
        <f t="shared" si="96"/>
        <v>0</v>
      </c>
      <c r="R136" s="492">
        <f t="shared" si="96"/>
        <v>0</v>
      </c>
      <c r="S136" s="558">
        <f t="shared" si="96"/>
        <v>0</v>
      </c>
    </row>
    <row r="137" spans="1:20" hidden="1">
      <c r="A137" s="183"/>
      <c r="B137" s="213" t="s">
        <v>1009</v>
      </c>
      <c r="C137" s="230"/>
      <c r="D137" s="230"/>
      <c r="E137" s="484">
        <f>PMT(C136,C138,-C134)</f>
        <v>0</v>
      </c>
      <c r="F137" s="484">
        <f>SUM(F135:F136)</f>
        <v>0</v>
      </c>
      <c r="G137" s="484">
        <f t="shared" ref="G137:S137" si="97">SUM(G135:G136)</f>
        <v>0</v>
      </c>
      <c r="H137" s="484">
        <f t="shared" si="97"/>
        <v>0</v>
      </c>
      <c r="I137" s="484">
        <f t="shared" si="97"/>
        <v>0</v>
      </c>
      <c r="J137" s="484">
        <f t="shared" si="97"/>
        <v>0</v>
      </c>
      <c r="K137" s="484">
        <f t="shared" si="97"/>
        <v>0</v>
      </c>
      <c r="L137" s="484">
        <f t="shared" si="97"/>
        <v>0</v>
      </c>
      <c r="M137" s="484">
        <f t="shared" si="97"/>
        <v>0</v>
      </c>
      <c r="N137" s="484">
        <f t="shared" si="97"/>
        <v>0</v>
      </c>
      <c r="O137" s="484">
        <f t="shared" si="97"/>
        <v>0</v>
      </c>
      <c r="P137" s="484">
        <f t="shared" si="97"/>
        <v>0</v>
      </c>
      <c r="Q137" s="484">
        <f t="shared" si="97"/>
        <v>0</v>
      </c>
      <c r="R137" s="484">
        <f t="shared" si="97"/>
        <v>0</v>
      </c>
      <c r="S137" s="501">
        <f t="shared" si="97"/>
        <v>0</v>
      </c>
    </row>
    <row r="138" spans="1:20" hidden="1">
      <c r="A138" s="183"/>
      <c r="B138" s="213" t="s">
        <v>323</v>
      </c>
      <c r="C138" s="786">
        <v>40</v>
      </c>
      <c r="D138" s="230"/>
      <c r="E138" s="484"/>
      <c r="F138" s="484"/>
      <c r="G138" s="484"/>
      <c r="H138" s="484"/>
      <c r="I138" s="484"/>
      <c r="J138" s="484"/>
      <c r="K138" s="484"/>
      <c r="L138" s="484"/>
      <c r="M138" s="484"/>
      <c r="N138" s="484"/>
      <c r="O138" s="484"/>
      <c r="P138" s="484"/>
      <c r="Q138" s="484"/>
      <c r="R138" s="484"/>
      <c r="S138" s="501"/>
    </row>
    <row r="139" spans="1:20">
      <c r="A139" s="183"/>
      <c r="B139" s="213"/>
      <c r="C139" s="1145"/>
      <c r="D139" s="230"/>
      <c r="E139" s="484"/>
      <c r="F139" s="484"/>
      <c r="G139" s="484"/>
      <c r="H139" s="484"/>
      <c r="I139" s="484"/>
      <c r="J139" s="484"/>
      <c r="K139" s="484"/>
      <c r="L139" s="484"/>
      <c r="M139" s="484"/>
      <c r="N139" s="484"/>
      <c r="O139" s="484"/>
      <c r="P139" s="484"/>
      <c r="Q139" s="484"/>
      <c r="R139" s="484"/>
      <c r="S139" s="501"/>
    </row>
    <row r="140" spans="1:20">
      <c r="A140" s="183"/>
      <c r="B140" s="637" t="s">
        <v>1016</v>
      </c>
      <c r="C140" s="637"/>
      <c r="D140" s="637"/>
      <c r="E140" s="775" t="e">
        <f>E132-E137</f>
        <v>#DIV/0!</v>
      </c>
      <c r="F140" s="775">
        <f t="shared" ref="F140:S140" si="98">F132-F137</f>
        <v>-35117.85</v>
      </c>
      <c r="G140" s="775">
        <f t="shared" si="98"/>
        <v>-36171.385500000004</v>
      </c>
      <c r="H140" s="775">
        <f t="shared" si="98"/>
        <v>-37256.527065000002</v>
      </c>
      <c r="I140" s="775">
        <f t="shared" si="98"/>
        <v>-38374.222876949992</v>
      </c>
      <c r="J140" s="775">
        <f t="shared" si="98"/>
        <v>-39525.449563258502</v>
      </c>
      <c r="K140" s="775">
        <f t="shared" si="98"/>
        <v>-40711.21305015625</v>
      </c>
      <c r="L140" s="775">
        <f t="shared" si="98"/>
        <v>-41932.549441660944</v>
      </c>
      <c r="M140" s="775">
        <f t="shared" si="98"/>
        <v>-43190.525924910777</v>
      </c>
      <c r="N140" s="775">
        <f t="shared" si="98"/>
        <v>-44486.241702658102</v>
      </c>
      <c r="O140" s="775">
        <f t="shared" si="98"/>
        <v>-45820.828953737844</v>
      </c>
      <c r="P140" s="775">
        <f t="shared" si="98"/>
        <v>-47195.453822349984</v>
      </c>
      <c r="Q140" s="775">
        <f t="shared" si="98"/>
        <v>-48611.31743702048</v>
      </c>
      <c r="R140" s="775">
        <f t="shared" si="98"/>
        <v>-50069.656960131098</v>
      </c>
      <c r="S140" s="776">
        <f t="shared" si="98"/>
        <v>-51571.746668935033</v>
      </c>
    </row>
    <row r="141" spans="1:20">
      <c r="A141" s="183"/>
      <c r="B141" s="230"/>
      <c r="C141" s="230"/>
      <c r="D141" s="230"/>
      <c r="E141" s="484"/>
      <c r="F141" s="484"/>
      <c r="G141" s="484"/>
      <c r="H141" s="484"/>
      <c r="I141" s="484"/>
      <c r="J141" s="484"/>
      <c r="K141" s="484"/>
      <c r="L141" s="484"/>
      <c r="M141" s="484"/>
      <c r="N141" s="484"/>
      <c r="O141" s="484"/>
      <c r="P141" s="484"/>
      <c r="Q141" s="484"/>
      <c r="R141" s="484"/>
      <c r="S141" s="501"/>
    </row>
    <row r="142" spans="1:20">
      <c r="A142" s="183"/>
      <c r="B142" s="230" t="s">
        <v>595</v>
      </c>
      <c r="C142" s="769" t="e">
        <f>'LIHTC Exec Summary'!F41</f>
        <v>#DIV/0!</v>
      </c>
      <c r="D142" s="230"/>
      <c r="E142" s="484" t="e">
        <f>IF(C142=0,"",C142)</f>
        <v>#DIV/0!</v>
      </c>
      <c r="F142" s="484" t="e">
        <f>IF(OR(E145&lt;0,E145=0),0,E145*(1+$C$143))</f>
        <v>#DIV/0!</v>
      </c>
      <c r="G142" s="484" t="e">
        <f t="shared" ref="G142:S142" si="99">IF(OR(F145&lt;0,F145=0),0,F145*(1+$C$143))</f>
        <v>#DIV/0!</v>
      </c>
      <c r="H142" s="484" t="e">
        <f t="shared" si="99"/>
        <v>#DIV/0!</v>
      </c>
      <c r="I142" s="484" t="e">
        <f t="shared" si="99"/>
        <v>#DIV/0!</v>
      </c>
      <c r="J142" s="484" t="e">
        <f t="shared" si="99"/>
        <v>#DIV/0!</v>
      </c>
      <c r="K142" s="484" t="e">
        <f t="shared" si="99"/>
        <v>#DIV/0!</v>
      </c>
      <c r="L142" s="484" t="e">
        <f t="shared" si="99"/>
        <v>#DIV/0!</v>
      </c>
      <c r="M142" s="484" t="e">
        <f t="shared" si="99"/>
        <v>#DIV/0!</v>
      </c>
      <c r="N142" s="484" t="e">
        <f t="shared" si="99"/>
        <v>#DIV/0!</v>
      </c>
      <c r="O142" s="484" t="e">
        <f t="shared" si="99"/>
        <v>#DIV/0!</v>
      </c>
      <c r="P142" s="484" t="e">
        <f t="shared" si="99"/>
        <v>#DIV/0!</v>
      </c>
      <c r="Q142" s="484" t="e">
        <f t="shared" si="99"/>
        <v>#DIV/0!</v>
      </c>
      <c r="R142" s="484" t="e">
        <f t="shared" si="99"/>
        <v>#DIV/0!</v>
      </c>
      <c r="S142" s="501" t="e">
        <f t="shared" si="99"/>
        <v>#DIV/0!</v>
      </c>
    </row>
    <row r="143" spans="1:20">
      <c r="A143" s="183"/>
      <c r="B143" s="230" t="s">
        <v>1017</v>
      </c>
      <c r="C143" s="1053">
        <v>0</v>
      </c>
      <c r="D143" s="230"/>
      <c r="E143" s="484"/>
      <c r="F143" s="484"/>
      <c r="G143" s="484"/>
      <c r="H143" s="484"/>
      <c r="I143" s="484"/>
      <c r="J143" s="484"/>
      <c r="K143" s="484"/>
      <c r="L143" s="484"/>
      <c r="M143" s="484"/>
      <c r="N143" s="484"/>
      <c r="O143" s="484"/>
      <c r="P143" s="484"/>
      <c r="Q143" s="484"/>
      <c r="R143" s="484"/>
      <c r="S143" s="501"/>
    </row>
    <row r="144" spans="1:20">
      <c r="A144" s="183"/>
      <c r="B144" s="213" t="s">
        <v>1018</v>
      </c>
      <c r="C144" s="230"/>
      <c r="D144" s="230"/>
      <c r="E144" s="484" t="e">
        <f>IF(C142&gt;0,IF(E140&gt;0,IF((C142)&gt;E140,E140,+(C142)),0),0)</f>
        <v>#DIV/0!</v>
      </c>
      <c r="F144" s="484" t="e">
        <f>IF(F142&gt;0,IF(F140&gt;0,IF((F142)&gt;F140,F140,+(F142)),0),0)</f>
        <v>#DIV/0!</v>
      </c>
      <c r="G144" s="484" t="e">
        <f>IF(G142&gt;0,IF(G140&gt;0,IF((G142)&gt;G140,G140,+(G142)),0),0)</f>
        <v>#DIV/0!</v>
      </c>
      <c r="H144" s="484" t="e">
        <f>IF(H142&gt;0,IF(H140&gt;0,IF((H142)&gt;H140,H140,+(H142)),0),0)</f>
        <v>#DIV/0!</v>
      </c>
      <c r="I144" s="484" t="e">
        <f>IF(I142&gt;0,IF(I140&gt;0,IF((I142)&gt;I140,I140,+(I142)),0),0)</f>
        <v>#DIV/0!</v>
      </c>
      <c r="J144" s="484" t="e">
        <f t="shared" ref="J144:S144" si="100">IF(J142&gt;0,IF(J140&gt;0,IF((J142)&gt;J140,J140,+(J142)),0),0)</f>
        <v>#DIV/0!</v>
      </c>
      <c r="K144" s="484" t="e">
        <f t="shared" si="100"/>
        <v>#DIV/0!</v>
      </c>
      <c r="L144" s="484" t="e">
        <f t="shared" si="100"/>
        <v>#DIV/0!</v>
      </c>
      <c r="M144" s="484" t="e">
        <f t="shared" si="100"/>
        <v>#DIV/0!</v>
      </c>
      <c r="N144" s="484" t="e">
        <f t="shared" si="100"/>
        <v>#DIV/0!</v>
      </c>
      <c r="O144" s="484" t="e">
        <f t="shared" si="100"/>
        <v>#DIV/0!</v>
      </c>
      <c r="P144" s="484" t="e">
        <f t="shared" si="100"/>
        <v>#DIV/0!</v>
      </c>
      <c r="Q144" s="484" t="e">
        <f t="shared" si="100"/>
        <v>#DIV/0!</v>
      </c>
      <c r="R144" s="484" t="e">
        <f t="shared" si="100"/>
        <v>#DIV/0!</v>
      </c>
      <c r="S144" s="501" t="e">
        <f t="shared" si="100"/>
        <v>#DIV/0!</v>
      </c>
    </row>
    <row r="145" spans="1:19" ht="16.5" thickBot="1">
      <c r="A145" s="205"/>
      <c r="B145" s="235" t="s">
        <v>1019</v>
      </c>
      <c r="C145" s="789"/>
      <c r="D145" s="789"/>
      <c r="E145" s="765" t="e">
        <f>C142-E144</f>
        <v>#DIV/0!</v>
      </c>
      <c r="F145" s="765" t="e">
        <f t="shared" ref="F145:M145" si="101">IF(F144-F142=0,0,(F142-F144))</f>
        <v>#DIV/0!</v>
      </c>
      <c r="G145" s="765" t="e">
        <f t="shared" si="101"/>
        <v>#DIV/0!</v>
      </c>
      <c r="H145" s="765" t="e">
        <f t="shared" si="101"/>
        <v>#DIV/0!</v>
      </c>
      <c r="I145" s="765" t="e">
        <f t="shared" si="101"/>
        <v>#DIV/0!</v>
      </c>
      <c r="J145" s="765" t="e">
        <f t="shared" si="101"/>
        <v>#DIV/0!</v>
      </c>
      <c r="K145" s="765" t="e">
        <f t="shared" si="101"/>
        <v>#DIV/0!</v>
      </c>
      <c r="L145" s="765" t="e">
        <f t="shared" si="101"/>
        <v>#DIV/0!</v>
      </c>
      <c r="M145" s="765" t="e">
        <f t="shared" si="101"/>
        <v>#DIV/0!</v>
      </c>
      <c r="N145" s="765" t="e">
        <f t="shared" ref="N145:S145" si="102">IF(N144-N142=0,0,(N142-N144))</f>
        <v>#DIV/0!</v>
      </c>
      <c r="O145" s="765" t="e">
        <f t="shared" si="102"/>
        <v>#DIV/0!</v>
      </c>
      <c r="P145" s="765" t="e">
        <f t="shared" si="102"/>
        <v>#DIV/0!</v>
      </c>
      <c r="Q145" s="765" t="e">
        <f t="shared" si="102"/>
        <v>#DIV/0!</v>
      </c>
      <c r="R145" s="765" t="e">
        <f t="shared" si="102"/>
        <v>#DIV/0!</v>
      </c>
      <c r="S145" s="766" t="e">
        <f t="shared" si="102"/>
        <v>#DIV/0!</v>
      </c>
    </row>
    <row r="146" spans="1:19">
      <c r="A146" s="215"/>
      <c r="B146" s="230"/>
      <c r="C146" s="230"/>
      <c r="D146" s="230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</row>
    <row r="147" spans="1:19">
      <c r="A147" s="215"/>
      <c r="B147" s="7"/>
      <c r="C147" s="230"/>
      <c r="D147" s="230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</row>
    <row r="148" spans="1:19">
      <c r="A148" s="215"/>
      <c r="B148" s="230" t="s">
        <v>1020</v>
      </c>
      <c r="C148" s="230"/>
      <c r="D148" s="230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</row>
    <row r="149" spans="1:19">
      <c r="A149" s="215"/>
      <c r="B149" s="233" t="s">
        <v>226</v>
      </c>
      <c r="C149" s="7"/>
      <c r="D149" s="230"/>
      <c r="E149" s="484" t="e">
        <f>IF(E145&gt;0,0,E132-E144)</f>
        <v>#DIV/0!</v>
      </c>
      <c r="F149" s="484" t="e">
        <f t="shared" ref="F149:K149" si="103">IF(F145&gt;0,0,F132-F144)</f>
        <v>#DIV/0!</v>
      </c>
      <c r="G149" s="484" t="e">
        <f t="shared" si="103"/>
        <v>#DIV/0!</v>
      </c>
      <c r="H149" s="484" t="e">
        <f t="shared" si="103"/>
        <v>#DIV/0!</v>
      </c>
      <c r="I149" s="484" t="e">
        <f t="shared" si="103"/>
        <v>#DIV/0!</v>
      </c>
      <c r="J149" s="484" t="e">
        <f t="shared" si="103"/>
        <v>#DIV/0!</v>
      </c>
      <c r="K149" s="484" t="e">
        <f t="shared" si="103"/>
        <v>#DIV/0!</v>
      </c>
      <c r="L149" s="484" t="e">
        <f t="shared" ref="L149:S149" si="104">IF(L145&gt;0,0,L132-L144)</f>
        <v>#DIV/0!</v>
      </c>
      <c r="M149" s="484" t="e">
        <f t="shared" si="104"/>
        <v>#DIV/0!</v>
      </c>
      <c r="N149" s="484" t="e">
        <f t="shared" si="104"/>
        <v>#DIV/0!</v>
      </c>
      <c r="O149" s="484" t="e">
        <f t="shared" si="104"/>
        <v>#DIV/0!</v>
      </c>
      <c r="P149" s="484" t="e">
        <f t="shared" si="104"/>
        <v>#DIV/0!</v>
      </c>
      <c r="Q149" s="484" t="e">
        <f t="shared" si="104"/>
        <v>#DIV/0!</v>
      </c>
      <c r="R149" s="484" t="e">
        <f t="shared" si="104"/>
        <v>#DIV/0!</v>
      </c>
      <c r="S149" s="484" t="e">
        <f t="shared" si="104"/>
        <v>#DIV/0!</v>
      </c>
    </row>
    <row r="150" spans="1:19">
      <c r="A150" s="215"/>
      <c r="B150" s="233" t="s">
        <v>86</v>
      </c>
      <c r="C150" s="777">
        <v>0.1</v>
      </c>
      <c r="D150" s="230"/>
      <c r="E150" s="484" t="e">
        <f>E149*$C$150</f>
        <v>#DIV/0!</v>
      </c>
      <c r="F150" s="484" t="e">
        <f t="shared" ref="F150:S150" si="105">F149*$C$150</f>
        <v>#DIV/0!</v>
      </c>
      <c r="G150" s="484" t="e">
        <f t="shared" si="105"/>
        <v>#DIV/0!</v>
      </c>
      <c r="H150" s="484" t="e">
        <f t="shared" si="105"/>
        <v>#DIV/0!</v>
      </c>
      <c r="I150" s="484" t="e">
        <f t="shared" si="105"/>
        <v>#DIV/0!</v>
      </c>
      <c r="J150" s="484" t="e">
        <f t="shared" si="105"/>
        <v>#DIV/0!</v>
      </c>
      <c r="K150" s="484" t="e">
        <f t="shared" si="105"/>
        <v>#DIV/0!</v>
      </c>
      <c r="L150" s="484" t="e">
        <f t="shared" si="105"/>
        <v>#DIV/0!</v>
      </c>
      <c r="M150" s="484" t="e">
        <f t="shared" si="105"/>
        <v>#DIV/0!</v>
      </c>
      <c r="N150" s="484" t="e">
        <f t="shared" si="105"/>
        <v>#DIV/0!</v>
      </c>
      <c r="O150" s="484" t="e">
        <f t="shared" si="105"/>
        <v>#DIV/0!</v>
      </c>
      <c r="P150" s="484" t="e">
        <f t="shared" si="105"/>
        <v>#DIV/0!</v>
      </c>
      <c r="Q150" s="484" t="e">
        <f t="shared" si="105"/>
        <v>#DIV/0!</v>
      </c>
      <c r="R150" s="484" t="e">
        <f t="shared" si="105"/>
        <v>#DIV/0!</v>
      </c>
      <c r="S150" s="484" t="e">
        <f t="shared" si="105"/>
        <v>#DIV/0!</v>
      </c>
    </row>
    <row r="151" spans="1:19">
      <c r="A151" s="215"/>
      <c r="B151" s="233" t="s">
        <v>1021</v>
      </c>
      <c r="C151" s="777">
        <v>0.9</v>
      </c>
      <c r="D151" s="230"/>
      <c r="E151" s="484" t="e">
        <f>E149*$C$151</f>
        <v>#DIV/0!</v>
      </c>
      <c r="F151" s="484" t="e">
        <f t="shared" ref="F151:S151" si="106">F149*$C$151</f>
        <v>#DIV/0!</v>
      </c>
      <c r="G151" s="484" t="e">
        <f t="shared" si="106"/>
        <v>#DIV/0!</v>
      </c>
      <c r="H151" s="484" t="e">
        <f t="shared" si="106"/>
        <v>#DIV/0!</v>
      </c>
      <c r="I151" s="484" t="e">
        <f t="shared" si="106"/>
        <v>#DIV/0!</v>
      </c>
      <c r="J151" s="484" t="e">
        <f t="shared" si="106"/>
        <v>#DIV/0!</v>
      </c>
      <c r="K151" s="484" t="e">
        <f t="shared" si="106"/>
        <v>#DIV/0!</v>
      </c>
      <c r="L151" s="484" t="e">
        <f t="shared" si="106"/>
        <v>#DIV/0!</v>
      </c>
      <c r="M151" s="484" t="e">
        <f t="shared" si="106"/>
        <v>#DIV/0!</v>
      </c>
      <c r="N151" s="484" t="e">
        <f t="shared" si="106"/>
        <v>#DIV/0!</v>
      </c>
      <c r="O151" s="484" t="e">
        <f t="shared" si="106"/>
        <v>#DIV/0!</v>
      </c>
      <c r="P151" s="484" t="e">
        <f t="shared" si="106"/>
        <v>#DIV/0!</v>
      </c>
      <c r="Q151" s="484" t="e">
        <f t="shared" si="106"/>
        <v>#DIV/0!</v>
      </c>
      <c r="R151" s="484" t="e">
        <f t="shared" si="106"/>
        <v>#DIV/0!</v>
      </c>
      <c r="S151" s="484" t="e">
        <f t="shared" si="106"/>
        <v>#DIV/0!</v>
      </c>
    </row>
    <row r="152" spans="1:19">
      <c r="A152" s="215"/>
      <c r="B152" s="233"/>
      <c r="C152" s="777"/>
      <c r="D152" s="230"/>
      <c r="E152" s="484"/>
      <c r="F152" s="484"/>
      <c r="G152" s="484"/>
      <c r="H152" s="484"/>
      <c r="I152" s="484"/>
      <c r="J152" s="484"/>
      <c r="K152" s="484"/>
      <c r="L152" s="484"/>
      <c r="M152" s="484"/>
      <c r="N152" s="484"/>
      <c r="O152" s="484"/>
      <c r="P152" s="484"/>
      <c r="Q152" s="484"/>
      <c r="R152" s="484"/>
      <c r="S152" s="484"/>
    </row>
    <row r="153" spans="1:19">
      <c r="A153" s="215"/>
      <c r="B153" s="233"/>
      <c r="C153" s="777"/>
      <c r="D153" s="230"/>
      <c r="E153" s="484"/>
      <c r="F153" s="484"/>
      <c r="G153" s="484"/>
      <c r="H153" s="484"/>
      <c r="I153" s="484"/>
      <c r="J153" s="484"/>
      <c r="K153" s="484"/>
      <c r="L153" s="484"/>
      <c r="M153" s="484"/>
      <c r="N153" s="484"/>
      <c r="O153" s="484"/>
      <c r="P153" s="484"/>
      <c r="Q153" s="484"/>
      <c r="R153" s="484"/>
      <c r="S153" s="484"/>
    </row>
    <row r="154" spans="1:19">
      <c r="A154" s="790"/>
      <c r="B154" s="217" t="s">
        <v>489</v>
      </c>
      <c r="C154" s="217"/>
      <c r="D154" s="217"/>
      <c r="E154" s="218"/>
      <c r="F154" s="219"/>
      <c r="G154" s="219"/>
      <c r="H154" s="219"/>
      <c r="I154" s="220" t="s">
        <v>490</v>
      </c>
      <c r="J154" s="221">
        <v>1.02</v>
      </c>
      <c r="K154" s="219"/>
      <c r="L154" s="220" t="s">
        <v>491</v>
      </c>
      <c r="M154" s="221">
        <v>1.03</v>
      </c>
      <c r="N154" s="219"/>
      <c r="O154" s="220" t="s">
        <v>492</v>
      </c>
      <c r="P154" s="221">
        <f>'Income &amp; OpEx'!$U$17</f>
        <v>0.05</v>
      </c>
      <c r="Q154" s="219"/>
      <c r="R154" s="220" t="s">
        <v>993</v>
      </c>
      <c r="S154" s="221">
        <v>1.03</v>
      </c>
    </row>
    <row r="155" spans="1:19">
      <c r="A155" s="215"/>
      <c r="B155" s="234"/>
      <c r="C155" s="234"/>
      <c r="D155" s="234"/>
      <c r="E155" s="213"/>
      <c r="I155" s="101"/>
      <c r="J155" s="165"/>
      <c r="L155" s="101"/>
      <c r="M155" s="165"/>
      <c r="O155" s="101"/>
      <c r="P155" s="165"/>
    </row>
    <row r="156" spans="1:19">
      <c r="A156" s="215"/>
      <c r="B156" s="204"/>
      <c r="C156" s="204"/>
      <c r="D156" s="204"/>
      <c r="E156" s="175"/>
      <c r="I156" s="101"/>
      <c r="J156" s="165"/>
      <c r="L156" s="101"/>
      <c r="M156" s="165"/>
      <c r="O156" s="101"/>
      <c r="P156" s="165"/>
    </row>
    <row r="157" spans="1:19">
      <c r="A157" s="215"/>
      <c r="B157" s="24"/>
      <c r="C157" s="206"/>
      <c r="D157" s="7"/>
      <c r="E157" s="149"/>
      <c r="L157" s="101"/>
      <c r="M157" s="165"/>
      <c r="O157" s="101"/>
      <c r="P157" s="165"/>
    </row>
    <row r="158" spans="1:19">
      <c r="A158" s="215"/>
      <c r="B158" s="7"/>
      <c r="C158" s="206"/>
      <c r="D158" s="7"/>
      <c r="E158" s="7"/>
      <c r="L158" s="101"/>
      <c r="M158" s="165"/>
      <c r="O158" s="101"/>
      <c r="P158" s="165"/>
    </row>
    <row r="159" spans="1:19">
      <c r="A159" s="215"/>
      <c r="B159" s="7"/>
      <c r="C159" s="207"/>
      <c r="D159" s="7"/>
      <c r="E159" s="106"/>
      <c r="L159" s="101"/>
      <c r="M159" s="165"/>
      <c r="O159" s="101"/>
      <c r="P159" s="165"/>
    </row>
    <row r="160" spans="1:19">
      <c r="A160" s="215"/>
      <c r="B160" s="7"/>
      <c r="C160" s="691"/>
      <c r="D160" s="7"/>
      <c r="E160" s="150"/>
      <c r="L160" s="101"/>
      <c r="M160" s="165"/>
      <c r="O160" s="101"/>
      <c r="P160" s="165"/>
    </row>
    <row r="161" spans="1:16">
      <c r="A161" s="215"/>
      <c r="B161" s="7"/>
      <c r="C161" s="7"/>
      <c r="D161" s="7"/>
      <c r="E161" s="7"/>
      <c r="L161" s="101"/>
      <c r="M161" s="165"/>
      <c r="O161" s="101"/>
      <c r="P161" s="165"/>
    </row>
    <row r="162" spans="1:16">
      <c r="A162" s="215"/>
      <c r="B162" s="7"/>
      <c r="C162" s="7"/>
      <c r="D162" s="7"/>
      <c r="E162" s="7"/>
      <c r="L162" s="101"/>
      <c r="M162" s="165"/>
      <c r="O162" s="101"/>
      <c r="P162" s="165"/>
    </row>
    <row r="163" spans="1:16">
      <c r="A163" s="215"/>
      <c r="B163" s="7"/>
      <c r="C163" s="1402"/>
      <c r="D163" s="149"/>
      <c r="E163" s="149"/>
      <c r="F163" s="149"/>
      <c r="G163" s="149"/>
      <c r="H163" s="149"/>
      <c r="L163" s="101"/>
      <c r="M163" s="165"/>
      <c r="O163" s="101"/>
      <c r="P163" s="165"/>
    </row>
    <row r="164" spans="1:16">
      <c r="A164" s="215"/>
      <c r="B164" s="7"/>
      <c r="C164" s="1402"/>
      <c r="D164" s="149"/>
      <c r="E164" s="149"/>
      <c r="F164" s="149"/>
      <c r="G164" s="149"/>
      <c r="H164" s="149"/>
      <c r="L164" s="101"/>
      <c r="M164" s="165"/>
      <c r="O164" s="101"/>
      <c r="P164" s="165"/>
    </row>
    <row r="165" spans="1:16">
      <c r="A165" s="215"/>
      <c r="B165" s="7"/>
      <c r="C165" s="1402"/>
      <c r="D165" s="149"/>
      <c r="E165" s="149"/>
      <c r="F165" s="149"/>
      <c r="G165" s="149"/>
      <c r="H165" s="149"/>
      <c r="L165" s="101"/>
      <c r="M165" s="165"/>
      <c r="O165" s="101"/>
      <c r="P165" s="165"/>
    </row>
    <row r="166" spans="1:16">
      <c r="A166" s="215"/>
      <c r="B166" s="7"/>
      <c r="C166" s="1402"/>
      <c r="D166" s="149"/>
      <c r="E166" s="149"/>
      <c r="F166" s="149"/>
      <c r="G166" s="149"/>
      <c r="H166" s="149"/>
      <c r="L166" s="101"/>
      <c r="M166" s="165"/>
      <c r="O166" s="101"/>
      <c r="P166" s="165"/>
    </row>
    <row r="167" spans="1:16">
      <c r="A167" s="215"/>
      <c r="B167" s="7"/>
      <c r="C167" s="1402"/>
      <c r="D167" s="149"/>
      <c r="E167" s="149"/>
      <c r="F167" s="149"/>
      <c r="G167" s="149"/>
      <c r="H167" s="149"/>
      <c r="L167" s="101"/>
      <c r="M167" s="165"/>
      <c r="O167" s="101"/>
      <c r="P167" s="165"/>
    </row>
    <row r="168" spans="1:16">
      <c r="A168" s="215"/>
      <c r="B168" s="7"/>
      <c r="C168" s="1402"/>
      <c r="D168" s="149"/>
      <c r="E168" s="149"/>
      <c r="F168" s="149"/>
      <c r="G168" s="149"/>
      <c r="H168" s="149"/>
      <c r="L168" s="101"/>
      <c r="M168" s="165"/>
      <c r="O168" s="101"/>
      <c r="P168" s="165"/>
    </row>
    <row r="169" spans="1:16">
      <c r="A169" s="215"/>
      <c r="B169" s="7"/>
      <c r="C169" s="1402"/>
      <c r="D169" s="149"/>
      <c r="E169" s="149"/>
      <c r="F169" s="149"/>
      <c r="G169" s="149"/>
      <c r="H169" s="149"/>
      <c r="L169" s="101"/>
      <c r="M169" s="165"/>
      <c r="O169" s="101"/>
      <c r="P169" s="165"/>
    </row>
    <row r="170" spans="1:16">
      <c r="A170" s="215"/>
      <c r="B170" s="7"/>
      <c r="C170" s="1402"/>
      <c r="D170" s="149"/>
      <c r="E170" s="149"/>
      <c r="F170" s="149"/>
      <c r="G170" s="149"/>
      <c r="H170" s="149"/>
      <c r="L170" s="101"/>
      <c r="M170" s="165"/>
      <c r="O170" s="101"/>
      <c r="P170" s="165"/>
    </row>
    <row r="171" spans="1:16">
      <c r="A171" s="215"/>
      <c r="B171" s="7"/>
      <c r="C171" s="214"/>
      <c r="D171" s="149"/>
      <c r="E171" s="149"/>
      <c r="F171" s="149"/>
      <c r="G171" s="149"/>
      <c r="H171" s="149"/>
      <c r="L171" s="101"/>
      <c r="M171" s="165"/>
      <c r="O171" s="101"/>
      <c r="P171" s="165"/>
    </row>
    <row r="172" spans="1:16">
      <c r="A172" s="215"/>
      <c r="B172" s="208"/>
      <c r="C172" s="214"/>
      <c r="D172" s="149"/>
      <c r="E172" s="149"/>
      <c r="F172" s="149"/>
      <c r="G172" s="149"/>
      <c r="H172" s="149"/>
      <c r="J172" s="209"/>
      <c r="L172" s="101"/>
      <c r="M172" s="165"/>
      <c r="O172" s="101"/>
      <c r="P172" s="165"/>
    </row>
    <row r="173" spans="1:16">
      <c r="A173" s="215"/>
      <c r="B173" s="210"/>
      <c r="C173" s="214"/>
      <c r="D173" s="149"/>
      <c r="E173" s="149"/>
      <c r="F173" s="149"/>
      <c r="G173" s="149"/>
      <c r="H173" s="149"/>
      <c r="J173" s="209"/>
      <c r="L173" s="101"/>
      <c r="M173" s="165"/>
      <c r="O173" s="101"/>
      <c r="P173" s="165"/>
    </row>
    <row r="174" spans="1:16">
      <c r="A174" s="215"/>
      <c r="B174" s="209"/>
      <c r="C174" s="214"/>
      <c r="D174" s="149"/>
      <c r="E174" s="149"/>
      <c r="F174" s="149"/>
      <c r="G174" s="149"/>
      <c r="H174" s="149"/>
      <c r="J174" s="209"/>
      <c r="L174" s="101"/>
      <c r="M174" s="165"/>
      <c r="O174" s="101"/>
      <c r="P174" s="165"/>
    </row>
    <row r="175" spans="1:16">
      <c r="A175" s="215"/>
      <c r="B175" s="211"/>
      <c r="C175" s="151"/>
      <c r="D175" s="149"/>
      <c r="E175" s="149"/>
      <c r="F175" s="149"/>
      <c r="G175" s="149"/>
      <c r="H175" s="149"/>
      <c r="J175" s="209"/>
      <c r="L175" s="101"/>
      <c r="M175" s="165"/>
      <c r="O175" s="101"/>
      <c r="P175" s="165"/>
    </row>
    <row r="176" spans="1:16">
      <c r="A176" s="215"/>
      <c r="B176" s="212"/>
      <c r="C176" s="214"/>
      <c r="D176" s="149"/>
      <c r="E176" s="149"/>
      <c r="F176" s="149"/>
      <c r="G176" s="149"/>
      <c r="H176" s="149"/>
      <c r="J176" s="209"/>
      <c r="L176" s="101"/>
      <c r="M176" s="165"/>
      <c r="O176" s="101"/>
      <c r="P176" s="165"/>
    </row>
    <row r="177" spans="1:20">
      <c r="A177" s="215"/>
      <c r="B177" s="212"/>
      <c r="C177" s="148"/>
      <c r="D177" s="149"/>
      <c r="E177" s="149"/>
      <c r="F177" s="149"/>
      <c r="G177" s="149"/>
      <c r="H177" s="149"/>
      <c r="J177" s="209"/>
      <c r="L177" s="101"/>
      <c r="M177" s="165"/>
      <c r="O177" s="101"/>
      <c r="P177" s="165"/>
    </row>
    <row r="178" spans="1:20">
      <c r="A178" s="215"/>
      <c r="B178" s="212"/>
      <c r="C178" s="7"/>
      <c r="D178" s="7"/>
      <c r="E178" s="7"/>
      <c r="J178" s="209"/>
      <c r="L178" s="101"/>
      <c r="M178" s="165"/>
      <c r="O178" s="101"/>
      <c r="P178" s="165"/>
    </row>
    <row r="179" spans="1:20">
      <c r="A179" s="215"/>
      <c r="B179" s="209"/>
      <c r="C179" s="7"/>
      <c r="D179" s="216"/>
      <c r="E179" s="209"/>
      <c r="F179" s="209"/>
      <c r="G179" s="209"/>
      <c r="H179" s="209"/>
      <c r="I179" s="209"/>
      <c r="J179" s="209"/>
      <c r="L179" s="101"/>
      <c r="M179" s="165"/>
      <c r="O179" s="101"/>
      <c r="P179" s="165"/>
      <c r="S179"/>
      <c r="T179"/>
    </row>
    <row r="180" spans="1:20">
      <c r="A180" s="183"/>
      <c r="B180" s="204"/>
      <c r="C180" s="204"/>
      <c r="D180" s="204"/>
      <c r="E180" s="175"/>
      <c r="I180" s="101"/>
      <c r="J180" s="165"/>
      <c r="L180" s="101"/>
      <c r="M180" s="165"/>
      <c r="O180" s="101"/>
      <c r="P180" s="165"/>
      <c r="S180"/>
      <c r="T180"/>
    </row>
    <row r="181" spans="1:20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1:20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1:20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1:20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1:20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1:20">
      <c r="A194" s="183"/>
      <c r="B194" s="175"/>
      <c r="C194" s="175"/>
      <c r="D194" s="175"/>
      <c r="E194" s="175"/>
    </row>
    <row r="195" spans="1:20">
      <c r="A195" s="183"/>
      <c r="B195" s="181"/>
      <c r="C195" s="181"/>
      <c r="D195" s="181"/>
      <c r="E195" s="181"/>
    </row>
    <row r="196" spans="1:20">
      <c r="A196" s="183"/>
      <c r="B196" s="186"/>
      <c r="C196" s="186"/>
      <c r="D196" s="186"/>
      <c r="E196" s="186"/>
    </row>
    <row r="197" spans="1:20">
      <c r="A197" s="183"/>
      <c r="B197" s="186"/>
      <c r="C197" s="186"/>
      <c r="D197" s="186"/>
      <c r="E197" s="186"/>
    </row>
    <row r="198" spans="1:20">
      <c r="A198" s="183"/>
      <c r="B198" s="186"/>
      <c r="C198" s="186"/>
      <c r="D198" s="186"/>
      <c r="E198" s="186"/>
    </row>
    <row r="199" spans="1:20">
      <c r="A199" s="183"/>
      <c r="B199" s="186"/>
      <c r="C199" s="186"/>
      <c r="D199" s="186"/>
      <c r="E199" s="186"/>
    </row>
    <row r="200" spans="1:20">
      <c r="A200" s="183"/>
      <c r="B200" s="186"/>
      <c r="C200" s="186"/>
      <c r="D200" s="186"/>
      <c r="E200" s="186"/>
    </row>
    <row r="201" spans="1:20">
      <c r="A201" s="183"/>
      <c r="B201" s="186"/>
      <c r="C201" s="186"/>
      <c r="D201" s="186"/>
      <c r="E201" s="186"/>
    </row>
    <row r="202" spans="1:20">
      <c r="A202" s="183"/>
      <c r="B202" s="186"/>
      <c r="C202" s="186"/>
      <c r="D202" s="186"/>
      <c r="E202" s="186"/>
    </row>
    <row r="203" spans="1:20">
      <c r="A203" s="183"/>
      <c r="B203" s="186"/>
      <c r="C203" s="186"/>
      <c r="D203" s="186"/>
      <c r="E203" s="186"/>
    </row>
    <row r="204" spans="1:20">
      <c r="A204" s="183"/>
      <c r="B204" s="186"/>
      <c r="C204" s="186"/>
      <c r="D204" s="186"/>
      <c r="E204" s="186"/>
    </row>
    <row r="205" spans="1:20">
      <c r="A205" s="183"/>
      <c r="B205" s="175"/>
      <c r="C205" s="175"/>
      <c r="D205" s="175"/>
      <c r="E205" s="175"/>
    </row>
    <row r="206" spans="1:20">
      <c r="A206" s="183"/>
      <c r="B206" s="175"/>
      <c r="C206" s="175"/>
      <c r="D206" s="175"/>
      <c r="E206" s="175"/>
    </row>
    <row r="207" spans="1:20">
      <c r="A207" s="183"/>
      <c r="B207" s="181"/>
      <c r="C207" s="181"/>
      <c r="D207" s="181"/>
      <c r="E207" s="181"/>
    </row>
    <row r="208" spans="1:20">
      <c r="A208" s="183"/>
      <c r="B208" s="186"/>
      <c r="C208" s="186"/>
      <c r="D208" s="186"/>
      <c r="E208" s="186"/>
    </row>
    <row r="209" spans="1:5">
      <c r="A209" s="183"/>
      <c r="B209" s="186"/>
      <c r="C209" s="186"/>
      <c r="D209" s="186"/>
      <c r="E209" s="186"/>
    </row>
    <row r="210" spans="1:5">
      <c r="A210" s="183"/>
      <c r="B210" s="186"/>
      <c r="C210" s="186"/>
      <c r="D210" s="186"/>
      <c r="E210" s="186"/>
    </row>
    <row r="211" spans="1:5">
      <c r="A211" s="183"/>
      <c r="B211" s="186"/>
      <c r="C211" s="186"/>
      <c r="D211" s="186"/>
      <c r="E211" s="186"/>
    </row>
    <row r="212" spans="1:5">
      <c r="A212" s="183"/>
      <c r="B212" s="186"/>
      <c r="C212" s="186"/>
      <c r="D212" s="186"/>
      <c r="E212" s="186"/>
    </row>
    <row r="213" spans="1:5">
      <c r="A213" s="183"/>
      <c r="B213" s="186"/>
      <c r="C213" s="186"/>
      <c r="D213" s="186"/>
      <c r="E213" s="186"/>
    </row>
    <row r="214" spans="1:5">
      <c r="A214" s="183"/>
      <c r="B214" s="186"/>
      <c r="C214" s="186"/>
      <c r="D214" s="186"/>
      <c r="E214" s="186"/>
    </row>
    <row r="215" spans="1:5">
      <c r="A215" s="183"/>
      <c r="B215" s="186"/>
      <c r="C215" s="186"/>
      <c r="D215" s="186"/>
      <c r="E215" s="186"/>
    </row>
    <row r="216" spans="1:5">
      <c r="A216" s="183"/>
      <c r="B216" s="175"/>
      <c r="C216" s="175"/>
      <c r="D216" s="175"/>
      <c r="E216" s="175"/>
    </row>
    <row r="217" spans="1:5">
      <c r="A217" s="183"/>
      <c r="B217" s="175"/>
      <c r="C217" s="175"/>
      <c r="D217" s="175"/>
      <c r="E217" s="175"/>
    </row>
    <row r="218" spans="1:5">
      <c r="A218" s="183"/>
      <c r="B218" s="175"/>
      <c r="C218" s="175"/>
      <c r="D218" s="175"/>
      <c r="E218" s="175"/>
    </row>
    <row r="219" spans="1:5">
      <c r="A219" s="183"/>
      <c r="B219" s="175"/>
      <c r="C219" s="175"/>
      <c r="D219" s="175"/>
      <c r="E219" s="175"/>
    </row>
    <row r="220" spans="1:5">
      <c r="A220" s="183"/>
      <c r="B220" s="181"/>
      <c r="C220" s="181"/>
      <c r="D220" s="181"/>
      <c r="E220" s="181"/>
    </row>
    <row r="221" spans="1:5">
      <c r="A221" s="183"/>
      <c r="B221" s="186"/>
      <c r="C221" s="186"/>
      <c r="D221" s="186"/>
      <c r="E221" s="186"/>
    </row>
    <row r="222" spans="1:5">
      <c r="A222" s="178"/>
      <c r="B222" s="175"/>
      <c r="C222" s="175"/>
      <c r="D222" s="175"/>
      <c r="E222" s="175"/>
    </row>
    <row r="223" spans="1:5">
      <c r="A223" s="178"/>
      <c r="B223" s="181"/>
      <c r="C223" s="181"/>
      <c r="D223" s="181"/>
      <c r="E223" s="181"/>
    </row>
    <row r="224" spans="1:5">
      <c r="A224" s="183"/>
      <c r="B224" s="186"/>
      <c r="C224" s="186"/>
      <c r="D224" s="186"/>
      <c r="E224" s="186"/>
    </row>
    <row r="225" spans="1:5">
      <c r="A225" s="183"/>
      <c r="B225" s="186"/>
      <c r="C225" s="186"/>
      <c r="D225" s="186"/>
      <c r="E225" s="186"/>
    </row>
    <row r="226" spans="1:5">
      <c r="A226" s="178"/>
      <c r="B226" s="186"/>
      <c r="C226" s="186"/>
      <c r="D226" s="186"/>
      <c r="E226" s="186"/>
    </row>
    <row r="227" spans="1:5">
      <c r="A227" s="178"/>
      <c r="B227" s="175"/>
      <c r="C227" s="175"/>
      <c r="D227" s="175"/>
      <c r="E227" s="175"/>
    </row>
    <row r="228" spans="1:5">
      <c r="A228" s="178"/>
      <c r="B228" s="175"/>
      <c r="C228" s="175"/>
      <c r="D228" s="175"/>
      <c r="E228" s="175"/>
    </row>
    <row r="229" spans="1:5">
      <c r="A229" s="178"/>
      <c r="B229" s="175"/>
      <c r="C229" s="175"/>
      <c r="D229" s="175"/>
      <c r="E229" s="175"/>
    </row>
    <row r="230" spans="1:5">
      <c r="A230" s="178"/>
      <c r="B230" s="175"/>
      <c r="C230" s="175"/>
      <c r="D230" s="175"/>
      <c r="E230" s="175"/>
    </row>
    <row r="231" spans="1:5">
      <c r="A231" s="178"/>
      <c r="B231" s="175"/>
      <c r="C231" s="175"/>
      <c r="D231" s="175"/>
      <c r="E231" s="175"/>
    </row>
    <row r="232" spans="1:5">
      <c r="A232" s="178"/>
      <c r="B232" s="175"/>
      <c r="C232" s="175"/>
      <c r="D232" s="175"/>
      <c r="E232" s="175"/>
    </row>
    <row r="233" spans="1:5">
      <c r="A233" s="178"/>
      <c r="B233" s="175"/>
      <c r="C233" s="175"/>
      <c r="D233" s="175"/>
      <c r="E233" s="175"/>
    </row>
    <row r="234" spans="1:5">
      <c r="A234" s="178"/>
      <c r="B234" s="175"/>
      <c r="C234" s="175"/>
      <c r="D234" s="175"/>
      <c r="E234" s="175"/>
    </row>
    <row r="235" spans="1:5">
      <c r="A235" s="178"/>
      <c r="B235" s="175"/>
      <c r="C235" s="175"/>
      <c r="D235" s="175"/>
      <c r="E235" s="175"/>
    </row>
    <row r="236" spans="1:5">
      <c r="A236" s="178"/>
      <c r="B236" s="175"/>
      <c r="C236" s="175"/>
      <c r="D236" s="175"/>
      <c r="E236" s="175"/>
    </row>
    <row r="237" spans="1:5">
      <c r="A237" s="178"/>
      <c r="B237" s="175"/>
      <c r="C237" s="175"/>
      <c r="D237" s="175"/>
      <c r="E237" s="175"/>
    </row>
    <row r="238" spans="1:5">
      <c r="A238" s="178"/>
      <c r="B238" s="175"/>
      <c r="C238" s="175"/>
      <c r="D238" s="175"/>
      <c r="E238" s="175"/>
    </row>
    <row r="239" spans="1:5">
      <c r="A239" s="195"/>
      <c r="B239" s="175"/>
      <c r="C239" s="175"/>
      <c r="D239" s="175"/>
      <c r="E239" s="175"/>
    </row>
    <row r="240" spans="1:5">
      <c r="A240" s="196"/>
      <c r="B240" s="197"/>
      <c r="C240" s="197"/>
      <c r="D240" s="197"/>
      <c r="E240" s="197"/>
    </row>
    <row r="241" spans="1:7" ht="18">
      <c r="A241" s="198"/>
      <c r="B241" s="197"/>
      <c r="C241" s="197"/>
      <c r="D241" s="197"/>
      <c r="E241" s="197"/>
    </row>
    <row r="242" spans="1:7">
      <c r="A242" s="178"/>
      <c r="B242" s="199"/>
      <c r="C242" s="199"/>
      <c r="D242" s="199"/>
      <c r="E242" s="199"/>
    </row>
    <row r="243" spans="1:7">
      <c r="A243" s="178"/>
      <c r="B243" s="199"/>
      <c r="C243" s="199"/>
      <c r="D243" s="199"/>
      <c r="E243" s="199"/>
    </row>
    <row r="244" spans="1:7">
      <c r="A244" s="178"/>
      <c r="B244" s="199"/>
      <c r="C244" s="199"/>
      <c r="D244" s="199"/>
      <c r="E244" s="199"/>
    </row>
    <row r="245" spans="1:7">
      <c r="A245" s="178"/>
      <c r="B245" s="199"/>
      <c r="C245" s="199"/>
      <c r="D245" s="199"/>
      <c r="E245" s="199"/>
    </row>
    <row r="246" spans="1:7">
      <c r="A246" s="178"/>
      <c r="B246" s="197"/>
      <c r="C246" s="197"/>
      <c r="D246" s="197"/>
      <c r="E246" s="197"/>
    </row>
    <row r="247" spans="1:7">
      <c r="A247" s="178"/>
      <c r="B247" s="175"/>
      <c r="C247" s="175"/>
      <c r="D247" s="175"/>
      <c r="E247" s="175"/>
    </row>
    <row r="248" spans="1:7">
      <c r="A248" s="178"/>
      <c r="B248" s="175"/>
      <c r="C248" s="175"/>
      <c r="D248" s="175"/>
      <c r="E248" s="175"/>
    </row>
    <row r="249" spans="1:7">
      <c r="A249"/>
      <c r="B249"/>
      <c r="C249"/>
      <c r="D249"/>
      <c r="E249"/>
      <c r="F249"/>
      <c r="G249"/>
    </row>
    <row r="250" spans="1:7">
      <c r="A250"/>
      <c r="B250"/>
      <c r="C250"/>
      <c r="D250"/>
      <c r="E250"/>
      <c r="F250"/>
      <c r="G250"/>
    </row>
    <row r="251" spans="1:7">
      <c r="A251"/>
      <c r="B251"/>
      <c r="C251"/>
      <c r="D251"/>
      <c r="E251"/>
      <c r="F251"/>
      <c r="G251"/>
    </row>
    <row r="252" spans="1:7">
      <c r="A252"/>
      <c r="B252"/>
      <c r="C252"/>
      <c r="D252"/>
      <c r="E252"/>
      <c r="F252"/>
      <c r="G252"/>
    </row>
    <row r="253" spans="1:7">
      <c r="A253"/>
      <c r="B253"/>
      <c r="C253"/>
      <c r="D253"/>
      <c r="E253"/>
      <c r="F253"/>
      <c r="G253"/>
    </row>
    <row r="254" spans="1:7">
      <c r="A254"/>
      <c r="B254"/>
      <c r="C254"/>
      <c r="D254"/>
      <c r="E254"/>
      <c r="F254"/>
      <c r="G254"/>
    </row>
    <row r="255" spans="1:7">
      <c r="A255"/>
      <c r="B255"/>
      <c r="C255"/>
      <c r="D255"/>
      <c r="E255"/>
      <c r="F255"/>
      <c r="G255"/>
    </row>
    <row r="256" spans="1:7">
      <c r="A256"/>
      <c r="B256"/>
      <c r="C256"/>
      <c r="D256"/>
      <c r="E256"/>
      <c r="F256"/>
      <c r="G256"/>
    </row>
    <row r="257" spans="1:7">
      <c r="A257"/>
      <c r="B257"/>
      <c r="C257"/>
      <c r="D257"/>
      <c r="E257"/>
      <c r="F257"/>
      <c r="G257"/>
    </row>
    <row r="258" spans="1:7">
      <c r="A258"/>
      <c r="B258"/>
      <c r="C258"/>
      <c r="D258"/>
      <c r="E258"/>
      <c r="F258"/>
      <c r="G258"/>
    </row>
    <row r="259" spans="1:7">
      <c r="A259"/>
      <c r="B259"/>
      <c r="C259"/>
      <c r="D259"/>
      <c r="E259"/>
      <c r="F259"/>
      <c r="G259"/>
    </row>
    <row r="260" spans="1:7">
      <c r="A260"/>
      <c r="B260"/>
      <c r="C260"/>
      <c r="D260"/>
      <c r="E260"/>
      <c r="F260"/>
      <c r="G260"/>
    </row>
    <row r="261" spans="1:7">
      <c r="A261"/>
      <c r="B261"/>
      <c r="C261"/>
      <c r="D261"/>
      <c r="E261"/>
      <c r="F261"/>
      <c r="G261"/>
    </row>
    <row r="262" spans="1:7">
      <c r="A262"/>
      <c r="B262"/>
      <c r="C262"/>
      <c r="D262"/>
      <c r="E262"/>
      <c r="F262"/>
      <c r="G262"/>
    </row>
    <row r="263" spans="1:7">
      <c r="A263"/>
      <c r="B263"/>
      <c r="C263"/>
      <c r="D263"/>
      <c r="E263"/>
      <c r="F263"/>
      <c r="G263"/>
    </row>
    <row r="264" spans="1:7">
      <c r="A264"/>
      <c r="B264"/>
      <c r="C264"/>
      <c r="D264"/>
      <c r="E264"/>
      <c r="F264"/>
      <c r="G264"/>
    </row>
    <row r="265" spans="1:7">
      <c r="A265"/>
      <c r="B265"/>
      <c r="C265"/>
      <c r="D265"/>
      <c r="E265"/>
      <c r="F265"/>
      <c r="G265"/>
    </row>
    <row r="266" spans="1:7">
      <c r="A266"/>
      <c r="B266"/>
      <c r="C266"/>
      <c r="D266"/>
      <c r="E266"/>
      <c r="F266"/>
      <c r="G266"/>
    </row>
    <row r="267" spans="1:7">
      <c r="A267"/>
      <c r="B267"/>
      <c r="C267"/>
      <c r="D267"/>
      <c r="E267"/>
      <c r="F267"/>
      <c r="G267"/>
    </row>
    <row r="268" spans="1:7">
      <c r="A268"/>
      <c r="B268"/>
      <c r="C268"/>
      <c r="D268"/>
      <c r="E268"/>
      <c r="F268"/>
      <c r="G268"/>
    </row>
    <row r="269" spans="1:7">
      <c r="A269"/>
      <c r="B269"/>
      <c r="C269"/>
      <c r="D269"/>
      <c r="E269"/>
      <c r="F269"/>
      <c r="G269"/>
    </row>
    <row r="270" spans="1:7">
      <c r="A270"/>
      <c r="B270"/>
      <c r="C270"/>
      <c r="D270"/>
      <c r="E270"/>
      <c r="F270"/>
      <c r="G270"/>
    </row>
    <row r="271" spans="1:7">
      <c r="A271"/>
      <c r="B271"/>
      <c r="C271"/>
      <c r="D271"/>
      <c r="E271"/>
      <c r="F271"/>
      <c r="G271"/>
    </row>
    <row r="272" spans="1:7">
      <c r="A272"/>
      <c r="B272"/>
      <c r="C272"/>
      <c r="D272"/>
      <c r="E272"/>
      <c r="F272"/>
      <c r="G272"/>
    </row>
    <row r="273" spans="1:7">
      <c r="A273"/>
      <c r="B273"/>
      <c r="C273"/>
      <c r="D273"/>
      <c r="E273"/>
      <c r="F273"/>
      <c r="G273"/>
    </row>
    <row r="274" spans="1:7">
      <c r="A274"/>
      <c r="B274"/>
      <c r="C274"/>
      <c r="D274"/>
      <c r="E274"/>
      <c r="F274"/>
      <c r="G274"/>
    </row>
    <row r="275" spans="1:7">
      <c r="A275"/>
      <c r="B275"/>
      <c r="C275"/>
      <c r="D275"/>
      <c r="E275"/>
      <c r="F275"/>
      <c r="G275"/>
    </row>
    <row r="276" spans="1:7">
      <c r="A276"/>
      <c r="B276"/>
      <c r="C276"/>
      <c r="D276"/>
      <c r="E276"/>
      <c r="F276"/>
      <c r="G276"/>
    </row>
    <row r="277" spans="1:7">
      <c r="A277"/>
      <c r="B277"/>
      <c r="C277"/>
      <c r="D277"/>
      <c r="E277"/>
      <c r="F277"/>
      <c r="G277"/>
    </row>
    <row r="278" spans="1:7">
      <c r="A278"/>
      <c r="B278"/>
      <c r="C278"/>
      <c r="D278"/>
      <c r="E278"/>
      <c r="F278"/>
      <c r="G278"/>
    </row>
    <row r="279" spans="1:7">
      <c r="A279" s="178"/>
      <c r="B279" s="175"/>
      <c r="C279" s="175"/>
      <c r="D279" s="175"/>
      <c r="E279" s="175"/>
    </row>
    <row r="280" spans="1:7">
      <c r="A280" s="178"/>
      <c r="B280" s="175"/>
      <c r="C280" s="175"/>
      <c r="D280" s="175"/>
      <c r="E280" s="175"/>
    </row>
    <row r="281" spans="1:7">
      <c r="A281" s="178"/>
      <c r="B281" s="175"/>
      <c r="C281" s="175"/>
      <c r="D281" s="175"/>
      <c r="E281" s="175"/>
    </row>
    <row r="282" spans="1:7">
      <c r="A282" s="178"/>
      <c r="B282" s="175"/>
      <c r="C282" s="175"/>
      <c r="D282" s="175"/>
      <c r="E282" s="175"/>
    </row>
    <row r="283" spans="1:7">
      <c r="A283" s="178"/>
      <c r="B283" s="175"/>
      <c r="C283" s="175"/>
      <c r="D283" s="175"/>
      <c r="E283" s="175"/>
    </row>
    <row r="284" spans="1:7">
      <c r="A284" s="178"/>
      <c r="B284" s="175"/>
      <c r="C284" s="175"/>
      <c r="D284" s="175"/>
      <c r="E284" s="175"/>
    </row>
    <row r="285" spans="1:7">
      <c r="A285" s="178"/>
      <c r="B285" s="175"/>
      <c r="C285" s="175"/>
      <c r="D285" s="175"/>
      <c r="E285" s="175"/>
    </row>
    <row r="286" spans="1:7">
      <c r="A286" s="178"/>
      <c r="B286" s="175"/>
      <c r="C286" s="175"/>
      <c r="D286" s="175"/>
      <c r="E286" s="175"/>
    </row>
    <row r="287" spans="1:7">
      <c r="A287" s="178"/>
      <c r="B287" s="175"/>
      <c r="C287" s="175"/>
      <c r="D287" s="175"/>
      <c r="E287" s="175"/>
    </row>
    <row r="288" spans="1:7">
      <c r="A288" s="178"/>
      <c r="B288" s="175"/>
      <c r="C288" s="175"/>
      <c r="D288" s="175"/>
      <c r="E288" s="175"/>
    </row>
    <row r="289" spans="1:5">
      <c r="A289" s="178"/>
      <c r="B289" s="175"/>
      <c r="C289" s="175"/>
      <c r="D289" s="175"/>
      <c r="E289" s="175"/>
    </row>
    <row r="290" spans="1:5">
      <c r="A290" s="178"/>
      <c r="B290" s="175"/>
      <c r="C290" s="175"/>
      <c r="D290" s="175"/>
      <c r="E290" s="175"/>
    </row>
    <row r="291" spans="1:5">
      <c r="A291" s="178"/>
      <c r="B291" s="175"/>
      <c r="C291" s="175"/>
      <c r="D291" s="175"/>
      <c r="E291" s="175"/>
    </row>
    <row r="292" spans="1:5">
      <c r="A292" s="178"/>
      <c r="B292" s="175"/>
      <c r="C292" s="175"/>
      <c r="D292" s="175"/>
      <c r="E292" s="175"/>
    </row>
    <row r="293" spans="1:5">
      <c r="A293" s="178"/>
      <c r="B293" s="175"/>
      <c r="C293" s="175"/>
      <c r="D293" s="175"/>
      <c r="E293" s="175"/>
    </row>
    <row r="294" spans="1:5">
      <c r="A294" s="178"/>
      <c r="B294" s="175"/>
      <c r="C294" s="175"/>
      <c r="D294" s="175"/>
      <c r="E294" s="175"/>
    </row>
    <row r="295" spans="1:5">
      <c r="A295" s="178"/>
      <c r="B295" s="175"/>
      <c r="C295" s="175"/>
      <c r="D295" s="175"/>
      <c r="E295" s="175"/>
    </row>
    <row r="296" spans="1:5">
      <c r="A296" s="178"/>
      <c r="B296" s="175"/>
      <c r="C296" s="175"/>
      <c r="D296" s="175"/>
      <c r="E296" s="175"/>
    </row>
    <row r="297" spans="1:5">
      <c r="A297" s="178"/>
      <c r="B297" s="175"/>
      <c r="C297" s="175"/>
      <c r="D297" s="175"/>
      <c r="E297" s="175"/>
    </row>
    <row r="298" spans="1:5">
      <c r="A298" s="178"/>
      <c r="B298" s="175"/>
      <c r="C298" s="175"/>
      <c r="D298" s="175"/>
      <c r="E298" s="175"/>
    </row>
    <row r="299" spans="1:5">
      <c r="A299" s="178"/>
      <c r="B299" s="175"/>
      <c r="C299" s="175"/>
      <c r="D299" s="175"/>
      <c r="E299" s="175"/>
    </row>
    <row r="300" spans="1:5">
      <c r="A300" s="178"/>
      <c r="B300" s="175"/>
      <c r="C300" s="175"/>
      <c r="D300" s="175"/>
      <c r="E300" s="175"/>
    </row>
    <row r="301" spans="1:5">
      <c r="A301" s="178"/>
      <c r="B301" s="175"/>
      <c r="C301" s="175"/>
      <c r="D301" s="175"/>
      <c r="E301" s="175"/>
    </row>
    <row r="302" spans="1:5">
      <c r="A302" s="178"/>
      <c r="B302" s="175"/>
      <c r="C302" s="175"/>
      <c r="D302" s="175"/>
      <c r="E302" s="175"/>
    </row>
    <row r="303" spans="1:5">
      <c r="A303" s="178"/>
      <c r="B303" s="175"/>
      <c r="C303" s="175"/>
      <c r="D303" s="175"/>
      <c r="E303" s="175"/>
    </row>
    <row r="304" spans="1:5">
      <c r="A304" s="178"/>
      <c r="B304" s="175"/>
      <c r="C304" s="175"/>
      <c r="D304" s="175"/>
      <c r="E304" s="175"/>
    </row>
    <row r="305" spans="1:5">
      <c r="A305" s="178"/>
      <c r="B305" s="175"/>
      <c r="C305" s="175"/>
      <c r="D305" s="175"/>
      <c r="E305" s="175"/>
    </row>
    <row r="306" spans="1:5">
      <c r="A306" s="178"/>
      <c r="B306" s="175"/>
      <c r="C306" s="175"/>
      <c r="D306" s="175"/>
      <c r="E306" s="175"/>
    </row>
    <row r="307" spans="1:5">
      <c r="A307" s="178"/>
      <c r="B307" s="175"/>
      <c r="C307" s="175"/>
      <c r="D307" s="175"/>
      <c r="E307" s="175"/>
    </row>
    <row r="308" spans="1:5">
      <c r="A308" s="178"/>
      <c r="B308" s="175"/>
      <c r="C308" s="175"/>
      <c r="D308" s="175"/>
      <c r="E308" s="175"/>
    </row>
    <row r="309" spans="1:5">
      <c r="A309" s="178"/>
      <c r="B309" s="175"/>
      <c r="C309" s="175"/>
      <c r="D309" s="175"/>
      <c r="E309" s="175"/>
    </row>
    <row r="310" spans="1:5">
      <c r="A310" s="178"/>
      <c r="B310" s="175"/>
      <c r="C310" s="175"/>
      <c r="D310" s="175"/>
      <c r="E310" s="175"/>
    </row>
    <row r="311" spans="1:5">
      <c r="A311" s="178"/>
      <c r="B311" s="175"/>
      <c r="C311" s="175"/>
      <c r="D311" s="175"/>
      <c r="E311" s="175"/>
    </row>
    <row r="312" spans="1:5">
      <c r="A312" s="178"/>
      <c r="B312" s="175"/>
      <c r="C312" s="175"/>
      <c r="D312" s="175"/>
      <c r="E312" s="175"/>
    </row>
    <row r="313" spans="1:5" ht="16.5" thickBot="1">
      <c r="A313" s="201"/>
      <c r="B313" s="202"/>
      <c r="C313" s="202"/>
      <c r="D313" s="202"/>
      <c r="E313" s="202"/>
    </row>
  </sheetData>
  <mergeCells count="4">
    <mergeCell ref="A1:Q1"/>
    <mergeCell ref="R1:S1"/>
    <mergeCell ref="A2:Q2"/>
    <mergeCell ref="R2:S2"/>
  </mergeCells>
  <phoneticPr fontId="7" type="noConversion"/>
  <pageMargins left="0.5" right="0.5" top="0.5" bottom="0.5" header="0.3" footer="0.3"/>
  <pageSetup scale="43" fitToHeight="2" orientation="landscape" r:id="rId1"/>
  <headerFooter scaleWithDoc="0">
    <oddHeader xml:space="preserve">&amp;R&amp;"Times New Roman,Regular"&amp;7
</oddHeader>
    <oddFooter>&amp;LPRIVELEGED AND CONFIDENTIAL&amp;C
&amp;R&amp;G</oddFooter>
    <firstHeader>&amp;CEXECUTIVE SUMMARY</firstHeader>
  </headerFooter>
  <colBreaks count="1" manualBreakCount="1">
    <brk id="13" max="1048575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F47E-5D69-4701-BFE0-656676BE7745}">
  <dimension ref="C3:AP12"/>
  <sheetViews>
    <sheetView workbookViewId="0">
      <selection activeCell="K28" sqref="K28"/>
    </sheetView>
  </sheetViews>
  <sheetFormatPr defaultRowHeight="15"/>
  <cols>
    <col min="3" max="3" width="21.28515625" style="1454" customWidth="1"/>
    <col min="9" max="9" width="14.140625" customWidth="1"/>
    <col min="10" max="10" width="12" customWidth="1"/>
  </cols>
  <sheetData>
    <row r="3" spans="3:42">
      <c r="C3" s="1600"/>
      <c r="D3" s="1593" t="s">
        <v>1097</v>
      </c>
      <c r="E3" s="1593" t="s">
        <v>1098</v>
      </c>
      <c r="F3" s="1593" t="s">
        <v>1099</v>
      </c>
      <c r="G3" s="1594"/>
      <c r="I3" s="1454"/>
    </row>
    <row r="4" spans="3:42" ht="14.1" customHeight="1">
      <c r="C4" s="1601" t="s">
        <v>1100</v>
      </c>
      <c r="D4" s="1595"/>
      <c r="E4" s="1595"/>
      <c r="F4" s="1595"/>
      <c r="G4" s="1596" t="s">
        <v>625</v>
      </c>
    </row>
    <row r="5" spans="3:42" ht="14.1" customHeight="1">
      <c r="C5" s="1601" t="s">
        <v>1102</v>
      </c>
      <c r="D5" s="1595"/>
      <c r="E5" s="1595"/>
      <c r="F5" s="1595"/>
      <c r="G5" s="1597" t="e">
        <f>(F5-F4)/F4</f>
        <v>#DIV/0!</v>
      </c>
    </row>
    <row r="6" spans="3:42" ht="14.1" customHeight="1">
      <c r="C6" s="1601" t="s">
        <v>1103</v>
      </c>
      <c r="D6" s="1595"/>
      <c r="E6" s="1595"/>
      <c r="F6" s="1595"/>
      <c r="G6" s="1597" t="e">
        <f>(F6-F5)/F5</f>
        <v>#DIV/0!</v>
      </c>
      <c r="AP6" t="s">
        <v>1109</v>
      </c>
    </row>
    <row r="7" spans="3:42" ht="14.1" customHeight="1">
      <c r="C7" s="1601" t="s">
        <v>1101</v>
      </c>
      <c r="D7" s="1595"/>
      <c r="E7" s="1595"/>
      <c r="F7" s="1595"/>
      <c r="G7" s="1594"/>
    </row>
    <row r="8" spans="3:42" ht="14.1" customHeight="1">
      <c r="C8" s="1601" t="s">
        <v>1104</v>
      </c>
      <c r="D8" s="1595"/>
      <c r="E8" s="1595"/>
      <c r="F8" s="1595"/>
      <c r="G8" s="1594"/>
    </row>
    <row r="9" spans="3:42" ht="14.1" customHeight="1">
      <c r="C9" s="1601" t="s">
        <v>1105</v>
      </c>
      <c r="D9" s="1595"/>
      <c r="E9" s="1595"/>
      <c r="F9" s="1595"/>
      <c r="G9" s="1594"/>
    </row>
    <row r="10" spans="3:42" ht="14.1" customHeight="1">
      <c r="C10" s="1601" t="s">
        <v>1106</v>
      </c>
      <c r="D10" s="1598"/>
      <c r="E10" s="1598"/>
      <c r="F10" s="1598"/>
      <c r="G10" s="1594"/>
    </row>
    <row r="11" spans="3:42" ht="14.1" customHeight="1">
      <c r="C11" s="1601" t="s">
        <v>1107</v>
      </c>
      <c r="D11" s="1598"/>
      <c r="E11" s="1598"/>
      <c r="F11" s="1598"/>
      <c r="G11" s="1594"/>
    </row>
    <row r="12" spans="3:42" ht="14.1" customHeight="1">
      <c r="C12" s="1601" t="s">
        <v>1108</v>
      </c>
      <c r="D12" s="1599" t="e">
        <f>(D8*D10)/D5</f>
        <v>#DIV/0!</v>
      </c>
      <c r="E12" s="1599" t="e">
        <f t="shared" ref="E12:F12" si="0">(E8*E10)/E5</f>
        <v>#DIV/0!</v>
      </c>
      <c r="F12" s="1599" t="e">
        <f t="shared" si="0"/>
        <v>#DIV/0!</v>
      </c>
      <c r="G12" s="159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A644-02AF-4173-A826-950AF57D1C63}">
  <sheetPr>
    <tabColor rgb="FFCCCCFF"/>
    <pageSetUpPr fitToPage="1"/>
  </sheetPr>
  <dimension ref="A1:AI71"/>
  <sheetViews>
    <sheetView showGridLines="0" view="pageBreakPreview" zoomScale="80" zoomScaleNormal="65" zoomScaleSheetLayoutView="80" zoomScalePageLayoutView="70" workbookViewId="0">
      <selection activeCell="Q21" sqref="Q21"/>
    </sheetView>
  </sheetViews>
  <sheetFormatPr defaultColWidth="9.140625" defaultRowHeight="15.75"/>
  <cols>
    <col min="1" max="1" width="1.85546875" style="7" customWidth="1"/>
    <col min="2" max="2" width="2.140625" style="7" customWidth="1"/>
    <col min="3" max="3" width="5.140625" style="7" customWidth="1"/>
    <col min="4" max="4" width="20.42578125" style="7" customWidth="1"/>
    <col min="5" max="5" width="15.85546875" style="7" customWidth="1"/>
    <col min="6" max="6" width="18.42578125" style="7" customWidth="1"/>
    <col min="7" max="7" width="15" style="7" customWidth="1"/>
    <col min="8" max="8" width="3.85546875" style="7" customWidth="1"/>
    <col min="9" max="11" width="1.85546875" style="7" customWidth="1"/>
    <col min="12" max="13" width="9.140625" style="7"/>
    <col min="14" max="14" width="16.5703125" style="7" customWidth="1"/>
    <col min="15" max="15" width="16.140625" style="7" bestFit="1" customWidth="1"/>
    <col min="16" max="16" width="3.140625" style="7" customWidth="1"/>
    <col min="17" max="17" width="18.140625" style="7" bestFit="1" customWidth="1"/>
    <col min="18" max="18" width="2" style="7" customWidth="1"/>
    <col min="19" max="19" width="31.85546875" style="68" customWidth="1"/>
    <col min="20" max="20" width="19.140625" style="24" customWidth="1"/>
    <col min="21" max="21" width="15.140625" style="24" bestFit="1" customWidth="1"/>
    <col min="22" max="22" width="14.85546875" style="24" bestFit="1" customWidth="1"/>
    <col min="23" max="23" width="15.140625" style="24" bestFit="1" customWidth="1"/>
    <col min="24" max="24" width="14.85546875" style="24" bestFit="1" customWidth="1"/>
    <col min="25" max="25" width="12.85546875" style="7" bestFit="1" customWidth="1"/>
    <col min="26" max="26" width="19.140625" style="7" customWidth="1"/>
    <col min="27" max="16384" width="9.140625" style="7"/>
  </cols>
  <sheetData>
    <row r="1" spans="1:26" ht="21" customHeight="1">
      <c r="A1" s="1707" t="str">
        <f>UPPER('Input Page'!$F$32)</f>
        <v/>
      </c>
      <c r="B1" s="1707"/>
      <c r="C1" s="1707"/>
      <c r="D1" s="1707"/>
      <c r="E1" s="1707"/>
      <c r="F1" s="1707"/>
      <c r="G1" s="1707"/>
      <c r="H1" s="1707"/>
      <c r="I1" s="1707"/>
      <c r="J1" s="1707"/>
      <c r="K1" s="1707"/>
      <c r="L1" s="1707"/>
      <c r="M1" s="1707"/>
      <c r="N1" s="1707"/>
      <c r="O1" s="1707"/>
      <c r="P1" s="1707"/>
      <c r="Q1" s="1707"/>
      <c r="R1" s="1707"/>
      <c r="S1" s="24"/>
    </row>
    <row r="2" spans="1:26" ht="21" customHeight="1" thickBot="1">
      <c r="A2" s="1707" t="s">
        <v>245</v>
      </c>
      <c r="B2" s="1707"/>
      <c r="C2" s="1707"/>
      <c r="D2" s="1707"/>
      <c r="E2" s="1707"/>
      <c r="F2" s="1707"/>
      <c r="G2" s="1707"/>
      <c r="H2" s="1707"/>
      <c r="I2" s="1707"/>
      <c r="J2" s="1707"/>
      <c r="K2" s="1707"/>
      <c r="L2" s="1707"/>
      <c r="M2" s="1707"/>
      <c r="N2" s="1707"/>
      <c r="O2" s="1707"/>
      <c r="P2" s="1707"/>
      <c r="Q2" s="1707"/>
      <c r="R2" s="1707"/>
      <c r="S2" s="24"/>
    </row>
    <row r="3" spans="1:26">
      <c r="A3" s="1419" t="s">
        <v>246</v>
      </c>
      <c r="B3" s="1418"/>
      <c r="C3" s="513"/>
      <c r="D3" s="513"/>
      <c r="E3" s="370"/>
      <c r="F3" s="371"/>
      <c r="G3" s="372"/>
      <c r="S3" s="1031" t="s">
        <v>247</v>
      </c>
    </row>
    <row r="4" spans="1:26" ht="16.5" thickBot="1">
      <c r="A4" s="49"/>
      <c r="B4" s="34" t="s">
        <v>69</v>
      </c>
      <c r="C4" s="34"/>
      <c r="D4" s="34"/>
      <c r="E4" s="1714">
        <f>'Input Page'!F32</f>
        <v>0</v>
      </c>
      <c r="F4" s="1714"/>
      <c r="G4" s="50"/>
      <c r="S4" s="1032">
        <f ca="1">NOW()</f>
        <v>44697.738694097221</v>
      </c>
    </row>
    <row r="5" spans="1:26" ht="15.6" customHeight="1">
      <c r="A5" s="49"/>
      <c r="B5" s="34" t="s">
        <v>70</v>
      </c>
      <c r="C5" s="34"/>
      <c r="D5" s="34"/>
      <c r="E5" s="1714">
        <f>'Input Page'!F33</f>
        <v>0</v>
      </c>
      <c r="F5" s="1714"/>
      <c r="G5" s="50"/>
      <c r="H5" s="34"/>
      <c r="S5" s="24"/>
    </row>
    <row r="6" spans="1:26" ht="15.6" customHeight="1">
      <c r="A6" s="49"/>
      <c r="B6" s="34" t="s">
        <v>71</v>
      </c>
      <c r="C6" s="34"/>
      <c r="D6" s="34"/>
      <c r="E6" s="166">
        <f>'Input Page'!F34</f>
        <v>0</v>
      </c>
      <c r="F6" s="166">
        <f>'Input Page'!G34</f>
        <v>0</v>
      </c>
      <c r="G6" s="50"/>
      <c r="S6" s="24"/>
    </row>
    <row r="7" spans="1:26" ht="15.6" customHeight="1">
      <c r="A7" s="49"/>
      <c r="B7" s="34" t="s">
        <v>72</v>
      </c>
      <c r="C7" s="34"/>
      <c r="D7" s="34"/>
      <c r="E7" s="1410">
        <f>'Input Page'!F35</f>
        <v>0</v>
      </c>
      <c r="F7" s="1410"/>
      <c r="G7" s="50"/>
      <c r="S7" s="24"/>
    </row>
    <row r="8" spans="1:26" ht="15.6" customHeight="1">
      <c r="A8" s="49"/>
      <c r="B8" s="34" t="s">
        <v>73</v>
      </c>
      <c r="C8" s="34"/>
      <c r="D8" s="34"/>
      <c r="E8" s="1714">
        <f>'Input Page'!F36</f>
        <v>0</v>
      </c>
      <c r="F8" s="1714"/>
      <c r="G8" s="50"/>
      <c r="H8" s="34"/>
      <c r="S8" s="24"/>
    </row>
    <row r="9" spans="1:26">
      <c r="A9" s="49"/>
      <c r="B9" s="34"/>
      <c r="C9" s="34"/>
      <c r="D9" s="34"/>
      <c r="E9" s="34"/>
      <c r="F9" s="34"/>
      <c r="G9" s="50"/>
      <c r="H9" s="34"/>
      <c r="S9" s="24"/>
    </row>
    <row r="10" spans="1:26">
      <c r="A10" s="49"/>
      <c r="B10" s="34" t="s">
        <v>248</v>
      </c>
      <c r="C10" s="34"/>
      <c r="D10" s="34"/>
      <c r="E10" s="490">
        <f>'Unit Mix'!D39</f>
        <v>0</v>
      </c>
      <c r="F10" s="34">
        <f>'Input Page'!G38</f>
        <v>0</v>
      </c>
      <c r="G10" s="50"/>
      <c r="S10" s="24"/>
    </row>
    <row r="11" spans="1:26">
      <c r="A11" s="49"/>
      <c r="B11" s="34" t="s">
        <v>75</v>
      </c>
      <c r="C11" s="34"/>
      <c r="D11" s="34"/>
      <c r="E11" s="490">
        <f>'LIHTC Exec Summary'!E12</f>
        <v>0</v>
      </c>
      <c r="F11" s="34"/>
      <c r="G11" s="50"/>
      <c r="S11" s="24"/>
    </row>
    <row r="12" spans="1:26">
      <c r="A12" s="373"/>
      <c r="B12" s="374"/>
      <c r="C12" s="374"/>
      <c r="D12" s="374"/>
      <c r="E12" s="374"/>
      <c r="F12" s="374"/>
      <c r="G12" s="375"/>
      <c r="H12" s="34"/>
      <c r="S12" s="279"/>
    </row>
    <row r="13" spans="1:26">
      <c r="H13" s="34"/>
      <c r="R13" s="691"/>
      <c r="S13" s="24"/>
    </row>
    <row r="14" spans="1:26">
      <c r="A14" s="1709" t="s">
        <v>249</v>
      </c>
      <c r="B14" s="1710"/>
      <c r="C14" s="1710"/>
      <c r="D14" s="1710"/>
      <c r="E14" s="1710"/>
      <c r="F14" s="1710"/>
      <c r="G14" s="1711"/>
      <c r="H14" s="34" t="s">
        <v>250</v>
      </c>
      <c r="I14" s="515" t="s">
        <v>251</v>
      </c>
      <c r="J14" s="33"/>
      <c r="K14" s="680"/>
      <c r="L14" s="680"/>
      <c r="M14" s="33"/>
      <c r="N14" s="33"/>
      <c r="O14" s="33"/>
      <c r="P14" s="33"/>
      <c r="Q14" s="43"/>
      <c r="R14" s="691"/>
      <c r="S14" s="24"/>
      <c r="U14" s="1715"/>
      <c r="V14" s="1715"/>
      <c r="W14" s="1715"/>
      <c r="X14" s="1715"/>
      <c r="Y14" s="34"/>
      <c r="Z14" s="34"/>
    </row>
    <row r="15" spans="1:26">
      <c r="A15" s="49"/>
      <c r="B15" s="1712" t="s">
        <v>252</v>
      </c>
      <c r="C15" s="1713"/>
      <c r="D15" s="376" t="s">
        <v>253</v>
      </c>
      <c r="E15" s="376"/>
      <c r="F15" s="377" t="s">
        <v>226</v>
      </c>
      <c r="G15" s="378" t="s">
        <v>254</v>
      </c>
      <c r="H15" s="34"/>
      <c r="I15" s="27"/>
      <c r="J15" s="7" t="s">
        <v>255</v>
      </c>
      <c r="Q15" s="1046"/>
      <c r="R15" s="77"/>
      <c r="S15" s="24" t="s">
        <v>256</v>
      </c>
      <c r="U15" s="34"/>
      <c r="V15" s="1708"/>
      <c r="W15" s="1708"/>
      <c r="X15" s="94"/>
      <c r="Y15" s="95"/>
      <c r="Z15" s="96"/>
    </row>
    <row r="16" spans="1:26">
      <c r="A16" s="49"/>
      <c r="B16" s="34"/>
      <c r="C16" s="34" t="s">
        <v>257</v>
      </c>
      <c r="D16" s="34"/>
      <c r="E16" s="34"/>
      <c r="F16" s="617">
        <f>'Warehouse Acq. Costs'!$D$10</f>
        <v>0</v>
      </c>
      <c r="G16" s="618" t="e">
        <f>F16/$E$10</f>
        <v>#DIV/0!</v>
      </c>
      <c r="H16" s="34"/>
      <c r="I16" s="27"/>
      <c r="J16" s="7" t="s">
        <v>258</v>
      </c>
      <c r="Q16" s="582" t="e">
        <f>'Warehouse Debt'!C35</f>
        <v>#DIV/0!</v>
      </c>
      <c r="R16" s="78"/>
      <c r="S16" s="1033" t="e">
        <f>Q16/F16</f>
        <v>#DIV/0!</v>
      </c>
      <c r="U16" s="34"/>
      <c r="V16" s="34"/>
      <c r="W16" s="34"/>
      <c r="X16" s="34"/>
      <c r="Y16" s="92"/>
      <c r="Z16" s="92"/>
    </row>
    <row r="17" spans="1:35">
      <c r="A17" s="49"/>
      <c r="B17" s="34"/>
      <c r="C17" s="34" t="s">
        <v>259</v>
      </c>
      <c r="D17" s="34"/>
      <c r="E17" s="34"/>
      <c r="F17" s="617">
        <f>'Warehouse Acq. Costs'!D20</f>
        <v>0</v>
      </c>
      <c r="G17" s="618" t="e">
        <f t="shared" ref="G17:G22" si="0">F17/$E$10</f>
        <v>#DIV/0!</v>
      </c>
      <c r="H17" s="34"/>
      <c r="I17" s="27"/>
      <c r="L17" s="7" t="s">
        <v>260</v>
      </c>
      <c r="Q17" s="530">
        <f>'Input Page'!F115</f>
        <v>0</v>
      </c>
      <c r="R17" s="78"/>
      <c r="S17" s="1023"/>
      <c r="U17" s="34"/>
      <c r="V17" s="34"/>
      <c r="W17" s="34"/>
      <c r="X17" s="34"/>
      <c r="Y17" s="92"/>
      <c r="Z17" s="92"/>
    </row>
    <row r="18" spans="1:35">
      <c r="A18" s="49"/>
      <c r="B18" s="34"/>
      <c r="C18" s="34" t="s">
        <v>261</v>
      </c>
      <c r="D18" s="34"/>
      <c r="E18" s="34"/>
      <c r="F18" s="617">
        <f>'Warehouse Acq. Costs'!D27</f>
        <v>0</v>
      </c>
      <c r="G18" s="618" t="e">
        <f t="shared" si="0"/>
        <v>#DIV/0!</v>
      </c>
      <c r="H18" s="34"/>
      <c r="I18" s="27"/>
      <c r="L18" s="7" t="s">
        <v>262</v>
      </c>
      <c r="Q18" s="531">
        <v>0</v>
      </c>
      <c r="R18" s="78"/>
      <c r="S18" s="86"/>
      <c r="U18" s="34"/>
      <c r="V18" s="34"/>
      <c r="W18" s="34"/>
      <c r="X18" s="34"/>
      <c r="Y18" s="92"/>
      <c r="Z18" s="92"/>
    </row>
    <row r="19" spans="1:35">
      <c r="A19" s="49"/>
      <c r="B19" s="34"/>
      <c r="C19" s="34" t="s">
        <v>263</v>
      </c>
      <c r="D19" s="34"/>
      <c r="E19" s="34"/>
      <c r="F19" s="617" t="e">
        <f>'Warehouse Acq. Costs'!D36</f>
        <v>#DIV/0!</v>
      </c>
      <c r="G19" s="618" t="e">
        <f t="shared" si="0"/>
        <v>#DIV/0!</v>
      </c>
      <c r="H19" s="34"/>
      <c r="I19" s="27"/>
      <c r="L19" s="7" t="s">
        <v>264</v>
      </c>
      <c r="P19" s="226"/>
      <c r="Q19" s="532">
        <f>IF('Input Page'!F116="Yes", 0.25%,0)</f>
        <v>0</v>
      </c>
      <c r="R19" s="78"/>
      <c r="S19" s="24" t="s">
        <v>265</v>
      </c>
      <c r="U19" s="34"/>
      <c r="V19" s="34"/>
      <c r="W19" s="34"/>
      <c r="X19" s="34"/>
      <c r="Y19" s="92"/>
      <c r="Z19" s="92"/>
    </row>
    <row r="20" spans="1:35">
      <c r="A20" s="49"/>
      <c r="B20" s="34"/>
      <c r="C20" s="34" t="s">
        <v>266</v>
      </c>
      <c r="D20" s="34"/>
      <c r="E20" s="34"/>
      <c r="F20" s="617">
        <f>'Warehouse Acq. Costs'!H11</f>
        <v>0</v>
      </c>
      <c r="G20" s="618" t="e">
        <f t="shared" si="0"/>
        <v>#DIV/0!</v>
      </c>
      <c r="H20" s="34"/>
      <c r="I20" s="27"/>
      <c r="K20" s="7" t="s">
        <v>267</v>
      </c>
      <c r="Q20" s="530">
        <f>SUM(Q17:Q19)</f>
        <v>0</v>
      </c>
      <c r="R20" s="78"/>
      <c r="S20" s="1033" t="e">
        <f>Q16/'Warehouse Debt'!$C$16</f>
        <v>#DIV/0!</v>
      </c>
      <c r="T20" s="1023" t="e">
        <f>IF(S20&gt;'Input Page'!F110,"LTV ISSUE", "GOOD")</f>
        <v>#DIV/0!</v>
      </c>
      <c r="U20" s="34"/>
      <c r="V20" s="34"/>
      <c r="W20" s="34"/>
      <c r="X20" s="34"/>
      <c r="Y20" s="92"/>
      <c r="Z20" s="92"/>
    </row>
    <row r="21" spans="1:35">
      <c r="A21" s="49"/>
      <c r="B21" s="34"/>
      <c r="C21" s="34" t="s">
        <v>268</v>
      </c>
      <c r="D21" s="34"/>
      <c r="E21" s="34"/>
      <c r="F21" s="617">
        <f>'Warehouse Acq. Costs'!H17</f>
        <v>0</v>
      </c>
      <c r="G21" s="618" t="e">
        <f t="shared" si="0"/>
        <v>#DIV/0!</v>
      </c>
      <c r="H21" s="34"/>
      <c r="I21" s="49"/>
      <c r="K21" s="7" t="s">
        <v>269</v>
      </c>
      <c r="Q21" s="294">
        <f>'Input Page'!F119</f>
        <v>3</v>
      </c>
      <c r="R21" s="78"/>
      <c r="S21" s="86"/>
      <c r="U21" s="34"/>
      <c r="V21" s="34"/>
      <c r="W21" s="34"/>
      <c r="X21" s="34"/>
      <c r="Y21" s="92"/>
      <c r="Z21" s="92"/>
    </row>
    <row r="22" spans="1:35">
      <c r="A22" s="49"/>
      <c r="B22" s="34"/>
      <c r="C22" s="34" t="s">
        <v>270</v>
      </c>
      <c r="D22" s="34"/>
      <c r="E22" s="34"/>
      <c r="F22" s="617">
        <f>'Warehouse Acq. Costs'!H23</f>
        <v>0</v>
      </c>
      <c r="G22" s="618" t="e">
        <f t="shared" si="0"/>
        <v>#DIV/0!</v>
      </c>
      <c r="H22" s="34"/>
      <c r="I22" s="27"/>
      <c r="K22" s="7" t="s">
        <v>271</v>
      </c>
      <c r="Q22" s="582">
        <f>'Input Page'!F114</f>
        <v>0</v>
      </c>
      <c r="R22" s="78"/>
      <c r="S22" s="86"/>
      <c r="U22" s="34"/>
      <c r="V22" s="34"/>
      <c r="W22" s="34"/>
      <c r="X22" s="34"/>
      <c r="Y22" s="92"/>
      <c r="Z22" s="92"/>
    </row>
    <row r="23" spans="1:35">
      <c r="A23" s="49"/>
      <c r="B23" s="379" t="s">
        <v>272</v>
      </c>
      <c r="C23" s="379"/>
      <c r="D23" s="379"/>
      <c r="E23" s="370" t="s">
        <v>253</v>
      </c>
      <c r="F23" s="619" t="e">
        <f>SUM(F16:F22)</f>
        <v>#DIV/0!</v>
      </c>
      <c r="G23" s="620" t="e">
        <f>SUM(G16:G22)</f>
        <v>#DIV/0!</v>
      </c>
      <c r="H23" s="34"/>
      <c r="I23" s="27"/>
      <c r="L23" s="7" t="s">
        <v>273</v>
      </c>
      <c r="Q23" s="582" t="e">
        <f>Q27-Q24</f>
        <v>#DIV/0!</v>
      </c>
      <c r="R23" s="79"/>
      <c r="S23" s="1034" t="s">
        <v>274</v>
      </c>
      <c r="T23" s="1023" t="e">
        <f>IF(F23=F29,"GOOD","ERROR")</f>
        <v>#DIV/0!</v>
      </c>
      <c r="U23" s="34"/>
      <c r="V23" s="34"/>
      <c r="W23" s="34"/>
      <c r="X23" s="34"/>
      <c r="Y23" s="92"/>
      <c r="Z23" s="92"/>
    </row>
    <row r="24" spans="1:35">
      <c r="A24" s="373"/>
      <c r="B24" s="374"/>
      <c r="C24" s="374"/>
      <c r="D24" s="374"/>
      <c r="E24" s="374"/>
      <c r="F24" s="374"/>
      <c r="G24" s="375"/>
      <c r="H24" s="34"/>
      <c r="I24" s="27"/>
      <c r="L24" s="7" t="s">
        <v>275</v>
      </c>
      <c r="P24" s="226"/>
      <c r="Q24" s="624" t="e">
        <f>Q16*Q20</f>
        <v>#DIV/0!</v>
      </c>
      <c r="R24" s="78"/>
      <c r="S24" s="24"/>
      <c r="U24" s="34"/>
      <c r="V24" s="34"/>
      <c r="W24" s="34"/>
      <c r="X24" s="34"/>
      <c r="Y24" s="92"/>
      <c r="Z24" s="92"/>
    </row>
    <row r="25" spans="1:35">
      <c r="A25" s="380"/>
      <c r="B25" s="11" t="s">
        <v>276</v>
      </c>
      <c r="C25" s="12"/>
      <c r="D25" s="12"/>
      <c r="E25" s="12"/>
      <c r="F25" s="13" t="s">
        <v>226</v>
      </c>
      <c r="G25" s="14" t="s">
        <v>141</v>
      </c>
      <c r="H25" s="34"/>
      <c r="I25" s="27"/>
      <c r="Q25" s="48"/>
      <c r="R25" s="691"/>
      <c r="S25" s="24"/>
      <c r="U25" s="34"/>
      <c r="V25" s="34"/>
      <c r="W25" s="34"/>
      <c r="X25" s="34"/>
      <c r="Y25" s="92"/>
      <c r="Z25" s="92"/>
    </row>
    <row r="26" spans="1:35">
      <c r="A26" s="49"/>
      <c r="B26" s="34"/>
      <c r="C26" s="34" t="s">
        <v>277</v>
      </c>
      <c r="D26" s="34"/>
      <c r="E26" s="34"/>
      <c r="F26" s="621" t="e">
        <f>Q16</f>
        <v>#DIV/0!</v>
      </c>
      <c r="G26" s="534" t="e">
        <f>F26/F29</f>
        <v>#DIV/0!</v>
      </c>
      <c r="I26" s="27"/>
      <c r="Q26" s="48"/>
      <c r="R26" s="77"/>
      <c r="S26" s="24"/>
      <c r="U26" s="34"/>
      <c r="V26" s="34"/>
      <c r="W26" s="34"/>
      <c r="X26" s="34"/>
      <c r="Y26" s="92"/>
      <c r="Z26" s="92"/>
    </row>
    <row r="27" spans="1:35">
      <c r="A27" s="49"/>
      <c r="B27" s="34"/>
      <c r="C27" s="34" t="s">
        <v>278</v>
      </c>
      <c r="D27" s="34"/>
      <c r="E27" s="34"/>
      <c r="F27" s="621"/>
      <c r="G27" s="534" t="e">
        <f>F27/F29</f>
        <v>#DIV/0!</v>
      </c>
      <c r="H27" s="34"/>
      <c r="I27" s="27"/>
      <c r="J27" s="1519"/>
      <c r="K27" s="1519" t="s">
        <v>279</v>
      </c>
      <c r="L27" s="1519"/>
      <c r="M27" s="1519"/>
      <c r="N27" s="1519"/>
      <c r="O27" s="1519"/>
      <c r="P27" s="1519"/>
      <c r="Q27" s="1520" t="e">
        <f>'Warehouse Debt'!F9</f>
        <v>#DIV/0!</v>
      </c>
      <c r="R27" s="77"/>
      <c r="S27" s="24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s="27"/>
      <c r="C28" s="7" t="s">
        <v>280</v>
      </c>
      <c r="F28" s="500" t="e">
        <f>F23-F26</f>
        <v>#DIV/0!</v>
      </c>
      <c r="G28" s="534" t="e">
        <f>F28/F29</f>
        <v>#DIV/0!</v>
      </c>
      <c r="H28" s="34"/>
      <c r="I28" s="27"/>
      <c r="J28" s="1519"/>
      <c r="K28" s="1519"/>
      <c r="L28" s="1521" t="s">
        <v>281</v>
      </c>
      <c r="M28" s="1519"/>
      <c r="N28" s="1519"/>
      <c r="O28" s="1519"/>
      <c r="P28" s="1519"/>
      <c r="Q28" s="1522" t="e">
        <f>'Warehouse Debt'!$C$9/'Warehouse Exec Summary'!$Q$27</f>
        <v>#DIV/0!</v>
      </c>
      <c r="R28" s="77"/>
      <c r="S28" s="24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s="55"/>
      <c r="B29" s="54" t="s">
        <v>282</v>
      </c>
      <c r="C29" s="54"/>
      <c r="D29" s="33"/>
      <c r="E29" s="33"/>
      <c r="F29" s="622" t="e">
        <f>SUM(F26:F28)</f>
        <v>#DIV/0!</v>
      </c>
      <c r="G29" s="628" t="e">
        <f>SUM(G26:G28)</f>
        <v>#DIV/0!</v>
      </c>
      <c r="H29" s="34"/>
      <c r="I29" s="373"/>
      <c r="J29" s="226"/>
      <c r="K29" s="226"/>
      <c r="L29" s="226"/>
      <c r="M29" s="226"/>
      <c r="N29" s="226"/>
      <c r="O29" s="226"/>
      <c r="P29" s="226"/>
      <c r="Q29" s="381"/>
      <c r="R29" s="77"/>
      <c r="S29" s="24"/>
      <c r="U29" s="34"/>
      <c r="V29" s="34"/>
      <c r="W29" s="34"/>
      <c r="X29" s="34"/>
      <c r="Y29" s="92"/>
      <c r="Z29" s="92"/>
    </row>
    <row r="30" spans="1:35">
      <c r="A30" s="515" t="s">
        <v>283</v>
      </c>
      <c r="B30" s="1408"/>
      <c r="C30" s="1408"/>
      <c r="D30" s="1408"/>
      <c r="E30" s="1408"/>
      <c r="F30" s="1408"/>
      <c r="G30" s="1409"/>
      <c r="H30" s="34"/>
      <c r="Q30" s="77"/>
      <c r="R30" s="77"/>
      <c r="S30" s="24"/>
      <c r="U30" s="34"/>
      <c r="V30" s="34"/>
      <c r="W30" s="34"/>
      <c r="X30" s="34"/>
      <c r="Y30" s="92"/>
      <c r="Z30" s="92"/>
    </row>
    <row r="31" spans="1:35">
      <c r="A31" s="27"/>
      <c r="B31" s="11" t="s">
        <v>276</v>
      </c>
      <c r="C31" s="12"/>
      <c r="D31" s="12"/>
      <c r="E31" s="12"/>
      <c r="F31" s="13" t="s">
        <v>226</v>
      </c>
      <c r="G31" s="14"/>
      <c r="H31" s="34"/>
      <c r="Q31" s="39"/>
      <c r="R31" s="77"/>
      <c r="S31" s="24"/>
      <c r="U31" s="34"/>
      <c r="V31" s="34"/>
      <c r="W31" s="34"/>
      <c r="X31" s="34"/>
      <c r="Y31" s="92"/>
      <c r="Z31" s="92"/>
    </row>
    <row r="32" spans="1:35">
      <c r="A32" s="27"/>
      <c r="C32" s="7" t="s">
        <v>284</v>
      </c>
      <c r="E32" s="681">
        <v>0</v>
      </c>
      <c r="F32" s="623" t="e">
        <f>F28*E32</f>
        <v>#DIV/0!</v>
      </c>
      <c r="G32" s="28"/>
      <c r="H32" s="34"/>
      <c r="Q32" s="83"/>
      <c r="R32" s="80"/>
      <c r="S32" s="24"/>
      <c r="T32" s="131"/>
      <c r="U32" s="132"/>
      <c r="V32" s="1708"/>
      <c r="W32" s="1708"/>
      <c r="X32" s="1708"/>
      <c r="Y32" s="93"/>
      <c r="Z32" s="93"/>
    </row>
    <row r="33" spans="1:26">
      <c r="A33" s="27"/>
      <c r="C33" s="7" t="s">
        <v>285</v>
      </c>
      <c r="E33" s="629">
        <f>1-E32</f>
        <v>1</v>
      </c>
      <c r="F33" s="623" t="e">
        <f>E33*F28</f>
        <v>#DIV/0!</v>
      </c>
      <c r="G33" s="28"/>
      <c r="H33" s="34"/>
      <c r="Q33" s="41"/>
      <c r="S33" s="24"/>
      <c r="T33" s="133"/>
      <c r="U33" s="34"/>
      <c r="V33" s="34"/>
      <c r="W33" s="34"/>
      <c r="X33" s="34"/>
      <c r="Y33" s="34"/>
      <c r="Z33" s="34"/>
    </row>
    <row r="34" spans="1:26">
      <c r="A34" s="27"/>
      <c r="B34" s="11" t="s">
        <v>286</v>
      </c>
      <c r="C34" s="12"/>
      <c r="D34" s="12"/>
      <c r="E34" s="12"/>
      <c r="F34" s="13" t="s">
        <v>226</v>
      </c>
      <c r="G34" s="14"/>
      <c r="H34" s="34"/>
      <c r="J34"/>
      <c r="Q34" s="31"/>
      <c r="R34" s="39"/>
      <c r="S34" s="24"/>
      <c r="T34" s="130"/>
      <c r="U34" s="34"/>
      <c r="V34" s="94"/>
      <c r="W34" s="94"/>
      <c r="X34" s="94"/>
      <c r="Y34" s="97"/>
      <c r="Z34" s="94"/>
    </row>
    <row r="35" spans="1:26">
      <c r="A35" s="27"/>
      <c r="C35" s="7" t="s">
        <v>287</v>
      </c>
      <c r="F35" s="427" t="e">
        <f>'Warehouse - 10 Year CF'!C117/$F$28</f>
        <v>#DIV/0!</v>
      </c>
      <c r="G35" s="1579"/>
      <c r="Q35" s="31"/>
      <c r="R35" s="84"/>
      <c r="S35" s="131"/>
      <c r="T35" s="84"/>
      <c r="U35" s="34"/>
      <c r="V35" s="34"/>
      <c r="W35" s="34"/>
      <c r="X35" s="34"/>
      <c r="Y35" s="92"/>
      <c r="Z35" s="99"/>
    </row>
    <row r="36" spans="1:26">
      <c r="A36" s="27"/>
      <c r="C36" s="7" t="s">
        <v>288</v>
      </c>
      <c r="F36" s="427" t="e">
        <f>'Warehouse - 10 Year CF'!D117/$F$28</f>
        <v>#VALUE!</v>
      </c>
      <c r="G36" s="28"/>
      <c r="R36" s="77"/>
      <c r="S36" s="1035"/>
      <c r="T36" s="86"/>
      <c r="U36" s="7"/>
      <c r="V36" s="7"/>
      <c r="W36" s="7"/>
      <c r="X36" s="7"/>
      <c r="Y36" s="42"/>
      <c r="Z36" s="99"/>
    </row>
    <row r="37" spans="1:26">
      <c r="A37" s="27"/>
      <c r="C37" s="7" t="s">
        <v>289</v>
      </c>
      <c r="F37" s="427" t="e">
        <f>'Warehouse - 10 Year CF'!E117/$F$28</f>
        <v>#VALUE!</v>
      </c>
      <c r="G37" s="28"/>
      <c r="I37" s="24"/>
      <c r="J37" s="24"/>
      <c r="K37" s="24"/>
      <c r="L37" s="24"/>
      <c r="M37" s="24"/>
      <c r="N37" s="24"/>
      <c r="O37" s="24"/>
      <c r="P37" s="24"/>
      <c r="Q37" s="62"/>
      <c r="R37" s="77"/>
      <c r="S37" s="1035"/>
      <c r="T37" s="86"/>
      <c r="U37" s="7"/>
      <c r="V37" s="7"/>
      <c r="W37" s="7"/>
      <c r="X37" s="7"/>
      <c r="Y37" s="42"/>
      <c r="Z37" s="99"/>
    </row>
    <row r="38" spans="1:26">
      <c r="A38" s="27"/>
      <c r="C38" s="7" t="s">
        <v>290</v>
      </c>
      <c r="F38" s="427" t="e">
        <f>'Warehouse - 10 Year CF'!F117/$F$28</f>
        <v>#VALUE!</v>
      </c>
      <c r="G38" s="28"/>
      <c r="R38" s="81"/>
      <c r="S38" s="1036" t="s">
        <v>291</v>
      </c>
      <c r="T38" s="86"/>
      <c r="U38" s="101"/>
      <c r="V38" s="101"/>
      <c r="W38" s="101"/>
      <c r="X38" s="101"/>
      <c r="Y38" s="42"/>
      <c r="Z38" s="99"/>
    </row>
    <row r="39" spans="1:26">
      <c r="A39" s="27"/>
      <c r="C39" s="7" t="s">
        <v>292</v>
      </c>
      <c r="F39" s="427" t="e">
        <f>'Warehouse - 10 Year CF'!G117/$F$28</f>
        <v>#VALUE!</v>
      </c>
      <c r="G39" s="28"/>
      <c r="R39" s="81"/>
      <c r="S39" s="1037"/>
      <c r="T39" s="615" t="s">
        <v>293</v>
      </c>
      <c r="U39" s="615" t="s">
        <v>294</v>
      </c>
      <c r="V39" s="615" t="s">
        <v>295</v>
      </c>
      <c r="W39" s="615" t="s">
        <v>296</v>
      </c>
      <c r="X39" s="615" t="s">
        <v>297</v>
      </c>
      <c r="Y39" s="42"/>
      <c r="Z39" s="99"/>
    </row>
    <row r="40" spans="1:26">
      <c r="A40" s="27"/>
      <c r="B40" s="11" t="s">
        <v>298</v>
      </c>
      <c r="C40" s="12"/>
      <c r="D40" s="12"/>
      <c r="E40" s="12"/>
      <c r="F40" s="13" t="s">
        <v>226</v>
      </c>
      <c r="G40" s="14"/>
      <c r="S40" s="1038" t="s">
        <v>299</v>
      </c>
      <c r="T40" s="616" t="s">
        <v>300</v>
      </c>
      <c r="U40" s="615" t="s">
        <v>300</v>
      </c>
      <c r="V40" s="615" t="s">
        <v>300</v>
      </c>
      <c r="W40" s="615" t="s">
        <v>300</v>
      </c>
      <c r="X40" s="615" t="s">
        <v>300</v>
      </c>
      <c r="Y40" s="42"/>
      <c r="Z40" s="630" t="s">
        <v>301</v>
      </c>
    </row>
    <row r="41" spans="1:26">
      <c r="A41" s="27"/>
      <c r="C41" s="7" t="s">
        <v>302</v>
      </c>
      <c r="F41" s="426" t="e">
        <f>IRR(S41:T41,0.1)</f>
        <v>#VALUE!</v>
      </c>
      <c r="G41" s="28"/>
      <c r="R41" s="39"/>
      <c r="S41" s="1039" t="e">
        <f>-F28</f>
        <v>#DIV/0!</v>
      </c>
      <c r="T41" s="612" t="e">
        <f>('Development Costs'!I4-'Warehouse Debt'!J12)+'Warehouse - 10 Year CF'!C117</f>
        <v>#DIV/0!</v>
      </c>
      <c r="U41" s="612"/>
      <c r="V41" s="612"/>
      <c r="W41" s="612"/>
      <c r="X41" s="612"/>
      <c r="Y41" s="62"/>
      <c r="Z41" s="98"/>
    </row>
    <row r="42" spans="1:26">
      <c r="A42" s="27"/>
      <c r="C42" s="7" t="s">
        <v>303</v>
      </c>
      <c r="F42" s="426" t="e">
        <f>IRR(S42:U42,0.1)</f>
        <v>#VALUE!</v>
      </c>
      <c r="G42" s="28"/>
      <c r="R42" s="39"/>
      <c r="S42" s="1040" t="e">
        <f>S41</f>
        <v>#DIV/0!</v>
      </c>
      <c r="T42" s="613" t="e">
        <f>'Warehouse - 10 Year CF'!$C$117</f>
        <v>#DIV/0!</v>
      </c>
      <c r="U42" s="613" t="e">
        <f>'Warehouse - 10 Year CF'!$D$117+('Development Costs'!I4-'Warehouse Debt'!J13)+Z42</f>
        <v>#VALUE!</v>
      </c>
      <c r="V42" s="613"/>
      <c r="W42" s="613"/>
      <c r="X42" s="613"/>
      <c r="Z42" s="60"/>
    </row>
    <row r="43" spans="1:26">
      <c r="A43" s="27"/>
      <c r="C43" s="7" t="s">
        <v>304</v>
      </c>
      <c r="F43" s="426" t="e">
        <f>IRR(S43:V43,0.1)</f>
        <v>#VALUE!</v>
      </c>
      <c r="G43" s="28"/>
      <c r="S43" s="1040" t="e">
        <f>S42</f>
        <v>#DIV/0!</v>
      </c>
      <c r="T43" s="613" t="e">
        <f>'Warehouse - 10 Year CF'!$C$117</f>
        <v>#DIV/0!</v>
      </c>
      <c r="U43" s="613" t="e">
        <f>'Warehouse - 10 Year CF'!$D$117</f>
        <v>#VALUE!</v>
      </c>
      <c r="V43" s="613" t="e">
        <f>'Warehouse - 10 Year CF'!$E$117+('Development Costs'!I4-'Warehouse Debt'!J14)+Z43</f>
        <v>#VALUE!</v>
      </c>
      <c r="W43" s="613"/>
      <c r="X43" s="613"/>
      <c r="Z43" s="60"/>
    </row>
    <row r="44" spans="1:26">
      <c r="A44" s="27"/>
      <c r="C44" s="7" t="s">
        <v>305</v>
      </c>
      <c r="F44" s="426" t="e">
        <f>IRR(S44:W44,0.1)</f>
        <v>#VALUE!</v>
      </c>
      <c r="G44" s="28"/>
      <c r="N44" s="37"/>
      <c r="S44" s="1040" t="e">
        <f>S43</f>
        <v>#DIV/0!</v>
      </c>
      <c r="T44" s="613" t="e">
        <f>'Warehouse - 10 Year CF'!$C$117</f>
        <v>#DIV/0!</v>
      </c>
      <c r="U44" s="613" t="e">
        <f>'Warehouse - 10 Year CF'!$D$117</f>
        <v>#VALUE!</v>
      </c>
      <c r="V44" s="613" t="e">
        <f>'Warehouse - 10 Year CF'!$E$117</f>
        <v>#VALUE!</v>
      </c>
      <c r="W44" s="613" t="e">
        <f>'Warehouse - 10 Year CF'!$F$117+('Development Costs'!I4-'Warehouse Debt'!J15)+Z44</f>
        <v>#VALUE!</v>
      </c>
      <c r="X44" s="613"/>
      <c r="Z44" s="60"/>
    </row>
    <row r="45" spans="1:26">
      <c r="A45" s="27"/>
      <c r="C45" s="7" t="s">
        <v>306</v>
      </c>
      <c r="F45" s="426" t="e">
        <f>IRR(S45:X45,0.1)</f>
        <v>#VALUE!</v>
      </c>
      <c r="G45" s="28"/>
      <c r="S45" s="1041" t="e">
        <f>S44</f>
        <v>#DIV/0!</v>
      </c>
      <c r="T45" s="614" t="e">
        <f>'Warehouse - 10 Year CF'!$C$117</f>
        <v>#DIV/0!</v>
      </c>
      <c r="U45" s="614" t="e">
        <f>'Warehouse - 10 Year CF'!$D$117</f>
        <v>#VALUE!</v>
      </c>
      <c r="V45" s="614" t="e">
        <f>'Warehouse - 10 Year CF'!$E$117</f>
        <v>#VALUE!</v>
      </c>
      <c r="W45" s="614" t="e">
        <f>'Warehouse - 10 Year CF'!$F$117</f>
        <v>#VALUE!</v>
      </c>
      <c r="X45" s="614" t="e">
        <f>'Warehouse - 10 Year CF'!$G$117+('Development Costs'!I4-'Warehouse Debt'!J16)+Z45</f>
        <v>#VALUE!</v>
      </c>
      <c r="Z45" s="60"/>
    </row>
    <row r="46" spans="1:26">
      <c r="A46" s="27"/>
      <c r="B46" s="11" t="s">
        <v>307</v>
      </c>
      <c r="C46" s="12"/>
      <c r="D46" s="12"/>
      <c r="E46" s="12"/>
      <c r="F46" s="13" t="s">
        <v>226</v>
      </c>
      <c r="G46" s="14"/>
      <c r="S46" s="101"/>
      <c r="T46" s="101"/>
      <c r="U46" s="101"/>
      <c r="V46" s="101"/>
      <c r="W46" s="101"/>
      <c r="X46" s="101"/>
      <c r="Z46" s="42"/>
    </row>
    <row r="47" spans="1:26">
      <c r="A47" s="27"/>
      <c r="C47" s="7">
        <v>12</v>
      </c>
      <c r="D47" s="7" t="s">
        <v>308</v>
      </c>
      <c r="E47" s="15" t="s">
        <v>309</v>
      </c>
      <c r="F47" s="623" t="e">
        <f>FV($E$48/12,C47,,-$F$29)</f>
        <v>#DIV/0!</v>
      </c>
      <c r="G47" s="28"/>
      <c r="N47" s="1042"/>
      <c r="P47"/>
      <c r="Q47"/>
      <c r="S47" s="24"/>
      <c r="U47" s="7"/>
      <c r="V47" s="7"/>
      <c r="W47" s="7"/>
      <c r="X47" s="7"/>
      <c r="Z47" s="100"/>
    </row>
    <row r="48" spans="1:26">
      <c r="A48" s="27"/>
      <c r="C48" s="7">
        <v>24</v>
      </c>
      <c r="D48" s="7" t="s">
        <v>308</v>
      </c>
      <c r="E48" s="168">
        <f>'Input Page'!F49</f>
        <v>0</v>
      </c>
      <c r="F48" s="623" t="e">
        <f>FV($E$48/12,C48,,-$F$29)</f>
        <v>#DIV/0!</v>
      </c>
      <c r="G48" s="28"/>
      <c r="H48"/>
      <c r="P48"/>
      <c r="Q48"/>
      <c r="R48"/>
      <c r="S48" s="69"/>
      <c r="T48" s="69"/>
      <c r="U48" s="7"/>
      <c r="W48" s="7"/>
      <c r="X48" s="7"/>
      <c r="Z48" s="62"/>
    </row>
    <row r="49" spans="1:26">
      <c r="A49" s="27"/>
      <c r="C49" s="7">
        <v>36</v>
      </c>
      <c r="D49" s="7" t="s">
        <v>308</v>
      </c>
      <c r="F49" s="623" t="e">
        <f>FV($E$48/12,C49,,-$F$29)</f>
        <v>#DIV/0!</v>
      </c>
      <c r="G49" s="28"/>
      <c r="H49"/>
      <c r="S49" s="69"/>
      <c r="T49" s="69"/>
      <c r="U49"/>
      <c r="V49"/>
      <c r="W49"/>
      <c r="X49"/>
      <c r="Y49"/>
      <c r="Z49"/>
    </row>
    <row r="50" spans="1:26">
      <c r="A50" s="27"/>
      <c r="C50" s="7">
        <v>48</v>
      </c>
      <c r="D50" s="7" t="s">
        <v>308</v>
      </c>
      <c r="F50" s="623" t="e">
        <f>FV($E$48/12,C50,,-$F$29)</f>
        <v>#DIV/0!</v>
      </c>
      <c r="G50" s="28"/>
      <c r="H50"/>
      <c r="R50" s="39"/>
      <c r="S50" s="69"/>
      <c r="T50" s="69"/>
      <c r="U50" s="69"/>
    </row>
    <row r="51" spans="1:26">
      <c r="A51" s="27"/>
      <c r="C51" s="7">
        <v>60</v>
      </c>
      <c r="D51" s="7" t="s">
        <v>308</v>
      </c>
      <c r="F51" s="623" t="e">
        <f>FV($E$48/12,C51,,-$F$29)</f>
        <v>#DIV/0!</v>
      </c>
      <c r="G51" s="28"/>
      <c r="H51"/>
      <c r="R51" s="39"/>
      <c r="S51" s="69"/>
      <c r="T51" s="69"/>
      <c r="U51" s="69"/>
    </row>
    <row r="52" spans="1:26">
      <c r="A52" s="27"/>
      <c r="B52" s="683" t="s">
        <v>310</v>
      </c>
      <c r="C52" s="682"/>
      <c r="D52" s="682"/>
      <c r="E52" s="682"/>
      <c r="F52" s="684" t="s">
        <v>226</v>
      </c>
      <c r="G52" s="161"/>
      <c r="H52"/>
      <c r="R52" s="29"/>
      <c r="S52" s="69"/>
      <c r="T52" s="69"/>
      <c r="U52" s="69"/>
    </row>
    <row r="53" spans="1:26">
      <c r="A53" s="27"/>
      <c r="C53" s="371" t="s">
        <v>311</v>
      </c>
      <c r="D53" s="371"/>
      <c r="E53" s="371"/>
      <c r="F53" s="625" t="e">
        <f>T41/F28</f>
        <v>#DIV/0!</v>
      </c>
      <c r="G53" s="372"/>
      <c r="H53"/>
      <c r="R53" s="77"/>
      <c r="S53" s="69"/>
      <c r="T53" s="69"/>
      <c r="U53" s="69"/>
    </row>
    <row r="54" spans="1:26">
      <c r="A54" s="27"/>
      <c r="C54" s="7" t="s">
        <v>312</v>
      </c>
      <c r="F54" s="626" t="e">
        <f>U42/F28</f>
        <v>#VALUE!</v>
      </c>
      <c r="G54" s="28"/>
      <c r="H54"/>
      <c r="R54" s="77"/>
      <c r="S54" s="69"/>
      <c r="T54" s="69"/>
      <c r="U54" s="69"/>
    </row>
    <row r="55" spans="1:26">
      <c r="A55" s="27"/>
      <c r="C55" s="7" t="s">
        <v>313</v>
      </c>
      <c r="F55" s="626" t="e">
        <f>V43/F28</f>
        <v>#VALUE!</v>
      </c>
      <c r="G55" s="28"/>
      <c r="R55" s="39"/>
      <c r="S55" s="69"/>
      <c r="T55" s="69"/>
      <c r="U55" s="69"/>
    </row>
    <row r="56" spans="1:26">
      <c r="A56" s="27"/>
      <c r="C56" s="7" t="s">
        <v>314</v>
      </c>
      <c r="F56" s="626" t="e">
        <f>W44/F28</f>
        <v>#VALUE!</v>
      </c>
      <c r="G56" s="28"/>
      <c r="R56" s="39"/>
      <c r="S56" s="69"/>
      <c r="T56" s="69"/>
      <c r="U56" s="69"/>
    </row>
    <row r="57" spans="1:26">
      <c r="A57" s="383"/>
      <c r="B57" s="226"/>
      <c r="C57" s="226" t="s">
        <v>315</v>
      </c>
      <c r="D57" s="226"/>
      <c r="E57" s="226"/>
      <c r="F57" s="627" t="e">
        <f>X45/F28</f>
        <v>#VALUE!</v>
      </c>
      <c r="G57" s="381"/>
      <c r="R57" s="40"/>
      <c r="S57" s="69"/>
      <c r="T57" s="69"/>
      <c r="U57" s="69"/>
    </row>
    <row r="58" spans="1:26">
      <c r="S58" s="69"/>
      <c r="T58" s="69"/>
      <c r="U58" s="69"/>
    </row>
    <row r="59" spans="1:26">
      <c r="R59" s="31"/>
      <c r="S59" s="85"/>
      <c r="T59" s="69"/>
      <c r="U59" s="69"/>
    </row>
    <row r="60" spans="1:26">
      <c r="S60" s="85"/>
      <c r="T60" s="69"/>
      <c r="U60" s="69"/>
    </row>
    <row r="61" spans="1:26">
      <c r="R61" s="39"/>
      <c r="S61" s="85"/>
      <c r="T61" s="69"/>
      <c r="U61" s="69"/>
    </row>
    <row r="62" spans="1:26">
      <c r="R62" s="82"/>
      <c r="S62" s="85"/>
      <c r="T62" s="69"/>
      <c r="U62" s="69"/>
    </row>
    <row r="63" spans="1:26">
      <c r="R63" s="77"/>
      <c r="S63" s="85"/>
      <c r="T63" s="69"/>
      <c r="U63" s="69"/>
    </row>
    <row r="64" spans="1:26">
      <c r="R64" s="77"/>
      <c r="S64" s="85"/>
      <c r="T64" s="69"/>
      <c r="U64" s="69"/>
    </row>
    <row r="65" spans="18:18">
      <c r="R65" s="39"/>
    </row>
    <row r="66" spans="18:18">
      <c r="R66" s="83"/>
    </row>
    <row r="67" spans="18:18">
      <c r="R67" s="41"/>
    </row>
    <row r="71" spans="18:18">
      <c r="R71" s="45"/>
    </row>
  </sheetData>
  <mergeCells count="10">
    <mergeCell ref="A1:R1"/>
    <mergeCell ref="A2:R2"/>
    <mergeCell ref="V32:X32"/>
    <mergeCell ref="A14:G14"/>
    <mergeCell ref="B15:C15"/>
    <mergeCell ref="E4:F4"/>
    <mergeCell ref="E5:F5"/>
    <mergeCell ref="E8:F8"/>
    <mergeCell ref="U14:X14"/>
    <mergeCell ref="V15:W15"/>
  </mergeCells>
  <conditionalFormatting sqref="F47">
    <cfRule type="expression" dxfId="57" priority="11">
      <formula>$F$33*1.25&gt;$F$47</formula>
    </cfRule>
  </conditionalFormatting>
  <conditionalFormatting sqref="F48">
    <cfRule type="expression" dxfId="56" priority="10">
      <formula>$F$33*1.25&gt;$F$48</formula>
    </cfRule>
  </conditionalFormatting>
  <conditionalFormatting sqref="F49">
    <cfRule type="expression" dxfId="55" priority="9">
      <formula>$F$33*1.25&gt;$F$49</formula>
    </cfRule>
  </conditionalFormatting>
  <conditionalFormatting sqref="F50">
    <cfRule type="expression" dxfId="54" priority="8">
      <formula>$F$33*1.25&gt;$F$50</formula>
    </cfRule>
  </conditionalFormatting>
  <conditionalFormatting sqref="F51">
    <cfRule type="expression" dxfId="53" priority="7">
      <formula>$F$33*1.25&gt;$F$51</formula>
    </cfRule>
  </conditionalFormatting>
  <conditionalFormatting sqref="T20">
    <cfRule type="containsText" dxfId="52" priority="3" operator="containsText" text="GOOD">
      <formula>NOT(ISERROR(SEARCH("GOOD",T20)))</formula>
    </cfRule>
    <cfRule type="containsText" dxfId="51" priority="4" operator="containsText" text="LTV">
      <formula>NOT(ISERROR(SEARCH("LTV",T20)))</formula>
    </cfRule>
  </conditionalFormatting>
  <conditionalFormatting sqref="T23">
    <cfRule type="containsText" dxfId="50" priority="1" operator="containsText" text="GOOD">
      <formula>NOT(ISERROR(SEARCH("GOOD",T23)))</formula>
    </cfRule>
    <cfRule type="containsText" dxfId="49" priority="2" operator="containsText" text="LTV">
      <formula>NOT(ISERROR(SEARCH("LTV",T23)))</formula>
    </cfRule>
  </conditionalFormatting>
  <printOptions horizontalCentered="1"/>
  <pageMargins left="1" right="1" top="1" bottom="1" header="0.5" footer="0.5"/>
  <pageSetup scale="50" fitToHeight="0" orientation="portrait" r:id="rId1"/>
  <headerFooter scaleWithDoc="0">
    <oddHeader xml:space="preserve">&amp;R&amp;"Times New Roman,Regular"&amp;7
</oddHeader>
    <oddFooter>&amp;LPRIVELEGED AND CONFIDENTIAL&amp;R&amp;"Times New Roman,Regular"&amp;7&amp;G</oddFooter>
    <firstHeader>&amp;CEXECUTIVE SUMMARY</first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0" operator="containsText" id="{12181A9E-2860-4C95-AB6E-AD0C1089654D}">
            <xm:f>NOT(ISERROR(SEARCH("YES",R43)))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R43</xm:sqref>
        </x14:conditionalFormatting>
        <x14:conditionalFormatting xmlns:xm="http://schemas.microsoft.com/office/excel/2006/main">
          <x14:cfRule type="containsText" priority="29" operator="containsText" id="{20873599-6D5D-43EE-B945-C1ABC3A555E9}">
            <xm:f>NOT(ISERROR(SEARCH("NO",R43)))</xm:f>
            <xm:f>"NO"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R43</xm:sqref>
        </x14:conditionalFormatting>
        <x14:conditionalFormatting xmlns:xm="http://schemas.microsoft.com/office/excel/2006/main">
          <x14:cfRule type="containsText" priority="28" operator="containsText" id="{C85A9D60-B144-408A-8DFD-06C5AC16B85B}">
            <xm:f>NOT(ISERROR(SEARCH("YES",R44)))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R44:R45</xm:sqref>
        </x14:conditionalFormatting>
        <x14:conditionalFormatting xmlns:xm="http://schemas.microsoft.com/office/excel/2006/main">
          <x14:cfRule type="containsText" priority="27" operator="containsText" id="{93812116-5818-4F1D-A7FD-90BFE32CA2F1}">
            <xm:f>NOT(ISERROR(SEARCH("NO",R44)))</xm:f>
            <xm:f>"NO"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R44:R45</xm:sqref>
        </x14:conditionalFormatting>
        <x14:conditionalFormatting xmlns:xm="http://schemas.microsoft.com/office/excel/2006/main">
          <x14:cfRule type="containsText" priority="26" operator="containsText" id="{1BBA8F4D-40BA-4811-BF48-3344ECA35037}">
            <xm:f>NOT(ISERROR(SEARCH("NO",S36)))</xm:f>
            <xm:f>"NO"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S36</xm:sqref>
        </x14:conditionalFormatting>
        <x14:conditionalFormatting xmlns:xm="http://schemas.microsoft.com/office/excel/2006/main">
          <x14:cfRule type="containsText" priority="25" operator="containsText" id="{4C90FA4E-9E5C-43AF-8B96-85211ECAE92D}">
            <xm:f>NOT(ISERROR(SEARCH("NO",S37)))</xm:f>
            <xm:f>"NO"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S37</xm:sqref>
        </x14:conditionalFormatting>
        <x14:conditionalFormatting xmlns:xm="http://schemas.microsoft.com/office/excel/2006/main">
          <x14:cfRule type="containsText" priority="24" operator="containsText" id="{D010D03A-F55D-457F-95A4-4E31AF0B00BF}">
            <xm:f>NOT(ISERROR(SEARCH("YES",S36)))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S36</xm:sqref>
        </x14:conditionalFormatting>
        <x14:conditionalFormatting xmlns:xm="http://schemas.microsoft.com/office/excel/2006/main">
          <x14:cfRule type="containsText" priority="23" operator="containsText" id="{DF2BAB90-D023-486A-9BE0-80F2B608004A}">
            <xm:f>NOT(ISERROR(SEARCH("YES",S37)))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S37</xm:sqref>
        </x14:conditionalFormatting>
        <x14:conditionalFormatting xmlns:xm="http://schemas.microsoft.com/office/excel/2006/main">
          <x14:cfRule type="containsText" priority="22" operator="containsText" id="{F4E5F68C-2282-4D0E-B9B5-BA6161747705}">
            <xm:f>NOT(ISERROR(SEARCH("ERROR",T31)))</xm:f>
            <xm:f>"ERROR"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containsText" priority="21" operator="containsText" id="{AF7F234C-ABD6-4682-9436-445D28B8DCF4}">
            <xm:f>NOT(ISERROR(SEARCH("GOOD",T31)))</xm:f>
            <xm:f>"GOOD"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T31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9968-D19C-4B31-BC22-F6159E8DB52D}">
  <sheetPr>
    <tabColor rgb="FFCCCCFF"/>
    <pageSetUpPr fitToPage="1"/>
  </sheetPr>
  <dimension ref="A1:AT64"/>
  <sheetViews>
    <sheetView zoomScale="90" zoomScaleNormal="90" workbookViewId="0">
      <selection activeCell="C14" sqref="C14"/>
    </sheetView>
  </sheetViews>
  <sheetFormatPr defaultRowHeight="15.75"/>
  <cols>
    <col min="1" max="1" width="40.85546875" bestFit="1" customWidth="1"/>
    <col min="2" max="2" width="7.42578125" customWidth="1"/>
    <col min="3" max="3" width="12" bestFit="1" customWidth="1"/>
    <col min="4" max="4" width="9.140625" style="7"/>
    <col min="5" max="5" width="13.140625" style="7" bestFit="1" customWidth="1"/>
    <col min="6" max="6" width="19.140625" style="7" bestFit="1" customWidth="1"/>
    <col min="7" max="7" width="11.85546875" style="7" customWidth="1"/>
    <col min="8" max="8" width="13.85546875" style="7" customWidth="1"/>
    <col min="9" max="9" width="14.42578125" style="7" customWidth="1"/>
    <col min="10" max="10" width="17" style="7" customWidth="1"/>
    <col min="11" max="46" width="9.140625" style="7"/>
  </cols>
  <sheetData>
    <row r="1" spans="1:10" s="7" customFormat="1" ht="18.75">
      <c r="A1" s="1716" t="str">
        <f>UPPER('Input Page'!$F$32)</f>
        <v/>
      </c>
      <c r="B1" s="1716"/>
      <c r="C1" s="1716"/>
      <c r="D1" s="1716"/>
      <c r="E1" s="1716"/>
      <c r="F1" s="1716"/>
      <c r="G1" s="1716"/>
      <c r="H1" s="1716"/>
      <c r="I1" s="1716"/>
      <c r="J1" s="1716"/>
    </row>
    <row r="2" spans="1:10" s="7" customFormat="1" ht="18.75">
      <c r="A2" s="1716" t="s">
        <v>316</v>
      </c>
      <c r="B2" s="1716"/>
      <c r="C2" s="1716"/>
      <c r="D2" s="1716"/>
      <c r="E2" s="1716"/>
      <c r="F2" s="1716"/>
      <c r="G2" s="1716"/>
      <c r="H2" s="1716"/>
      <c r="I2" s="1716"/>
      <c r="J2" s="1716"/>
    </row>
    <row r="3" spans="1:10" s="7" customFormat="1" ht="18.75">
      <c r="A3" s="1411"/>
      <c r="B3" s="1411"/>
      <c r="C3" s="1411"/>
      <c r="D3" s="1411"/>
      <c r="E3" s="1411"/>
      <c r="F3" s="1411"/>
      <c r="G3" s="1411"/>
      <c r="H3" s="1411"/>
      <c r="I3" s="1411"/>
      <c r="J3" s="1411"/>
    </row>
    <row r="4" spans="1:10" s="7" customFormat="1" ht="16.5" thickBot="1"/>
    <row r="5" spans="1:10" ht="16.5" thickBot="1">
      <c r="A5" s="1717" t="s">
        <v>317</v>
      </c>
      <c r="B5" s="1718"/>
      <c r="C5" s="1719"/>
      <c r="E5" s="1717" t="s">
        <v>318</v>
      </c>
      <c r="F5" s="1718"/>
      <c r="G5" s="1718"/>
      <c r="H5" s="1718"/>
      <c r="I5" s="1718"/>
      <c r="J5" s="1719"/>
    </row>
    <row r="6" spans="1:10">
      <c r="A6" s="135" t="s">
        <v>319</v>
      </c>
      <c r="B6" s="7"/>
      <c r="C6" s="501">
        <f>'Income &amp; OpEx'!M40</f>
        <v>0</v>
      </c>
      <c r="E6" s="135" t="s">
        <v>320</v>
      </c>
      <c r="F6" s="485" t="e">
        <f>'Warehouse Debt'!C35</f>
        <v>#DIV/0!</v>
      </c>
      <c r="G6" s="1720">
        <f>'Input Page'!F102</f>
        <v>0</v>
      </c>
      <c r="H6" s="1721"/>
      <c r="J6" s="140"/>
    </row>
    <row r="7" spans="1:10">
      <c r="A7" s="135" t="s">
        <v>321</v>
      </c>
      <c r="B7" s="7"/>
      <c r="C7" s="558">
        <f>'Income &amp; OpEx'!M115</f>
        <v>34095</v>
      </c>
      <c r="E7" s="135" t="s">
        <v>267</v>
      </c>
      <c r="F7" s="547">
        <f>'Warehouse Debt'!C29</f>
        <v>0</v>
      </c>
      <c r="J7" s="140"/>
    </row>
    <row r="8" spans="1:10">
      <c r="A8" s="135" t="s">
        <v>322</v>
      </c>
      <c r="B8" s="7"/>
      <c r="C8" s="501">
        <f>C6-C7</f>
        <v>-34095</v>
      </c>
      <c r="E8" s="135" t="s">
        <v>323</v>
      </c>
      <c r="F8" s="485">
        <f>'Warehouse Debt'!C25</f>
        <v>0</v>
      </c>
      <c r="J8" s="140"/>
    </row>
    <row r="9" spans="1:10">
      <c r="A9" s="135" t="s">
        <v>324</v>
      </c>
      <c r="B9" s="7"/>
      <c r="C9" s="558">
        <f>'Income &amp; OpEx'!M234</f>
        <v>0</v>
      </c>
      <c r="E9" s="135" t="s">
        <v>325</v>
      </c>
      <c r="F9" s="485" t="e">
        <f>PMT(F7/12,F8*12,-F6)*12</f>
        <v>#DIV/0!</v>
      </c>
      <c r="J9" s="140"/>
    </row>
    <row r="10" spans="1:10" ht="16.5" thickBot="1">
      <c r="A10" s="135" t="s">
        <v>326</v>
      </c>
      <c r="B10" s="7"/>
      <c r="C10" s="501">
        <f>'Income &amp; OpEx'!M236</f>
        <v>-34095</v>
      </c>
      <c r="E10" s="135"/>
      <c r="J10" s="140"/>
    </row>
    <row r="11" spans="1:10" ht="16.5" thickBot="1">
      <c r="A11" s="1717" t="s">
        <v>327</v>
      </c>
      <c r="B11" s="1718"/>
      <c r="C11" s="1719"/>
      <c r="E11" s="135"/>
      <c r="F11" s="445" t="s">
        <v>328</v>
      </c>
      <c r="G11" s="445" t="s">
        <v>325</v>
      </c>
      <c r="H11" s="445" t="s">
        <v>329</v>
      </c>
      <c r="I11" s="445" t="s">
        <v>330</v>
      </c>
      <c r="J11" s="446" t="s">
        <v>331</v>
      </c>
    </row>
    <row r="12" spans="1:10">
      <c r="A12" s="135" t="s">
        <v>326</v>
      </c>
      <c r="B12" s="7"/>
      <c r="C12" s="555">
        <f>C10</f>
        <v>-34095</v>
      </c>
      <c r="E12" s="1406">
        <v>1</v>
      </c>
      <c r="F12" s="500" t="e">
        <f>F6</f>
        <v>#DIV/0!</v>
      </c>
      <c r="G12" s="500" t="e">
        <f>F9</f>
        <v>#DIV/0!</v>
      </c>
      <c r="H12" s="500" t="e">
        <f>F12*$F$7</f>
        <v>#DIV/0!</v>
      </c>
      <c r="I12" s="500">
        <f>IF('Warehouse Debt'!E12="","",IF(AND('Input Page'!$F$119&gt;0)*OR('Input Page'!$F$119='Warehouse Debt'!E12,,'Input Page'!$F$119&gt;'Warehouse Debt'!E12),0,G12-H12))</f>
        <v>0</v>
      </c>
      <c r="J12" s="563" t="e">
        <f>F12-I12</f>
        <v>#DIV/0!</v>
      </c>
    </row>
    <row r="13" spans="1:10">
      <c r="A13" s="135" t="s">
        <v>332</v>
      </c>
      <c r="B13" s="7"/>
      <c r="C13" s="296"/>
      <c r="E13" s="1406" t="str">
        <f>IF('Warehouse Debt'!$C$25&gt;E12,E12+1,"")</f>
        <v/>
      </c>
      <c r="F13" s="500" t="str">
        <f t="shared" ref="F13:F51" si="0">IF(E13="","",J12)</f>
        <v/>
      </c>
      <c r="G13" s="500" t="str">
        <f t="shared" ref="G13:G51" si="1">IF(E13="","",G12)</f>
        <v/>
      </c>
      <c r="H13" s="500" t="str">
        <f t="shared" ref="H13:H51" si="2">IF(E13="","",F13*$F$7)</f>
        <v/>
      </c>
      <c r="I13" s="500" t="str">
        <f>IF('Warehouse Debt'!E13="","",IF(AND('Input Page'!$F$119&gt;0)*OR('Input Page'!$F$119='Warehouse Debt'!E13,,'Input Page'!$F$119&gt;'Warehouse Debt'!E13),0,G13-H13))</f>
        <v/>
      </c>
      <c r="J13" s="563" t="str">
        <f t="shared" ref="J13:J51" si="3">IF(E13="","",F13-I13)</f>
        <v/>
      </c>
    </row>
    <row r="14" spans="1:10">
      <c r="A14" s="135" t="s">
        <v>333</v>
      </c>
      <c r="B14" s="7"/>
      <c r="C14" s="555">
        <f>C12+C13</f>
        <v>-34095</v>
      </c>
      <c r="E14" s="1406" t="str">
        <f>IF('Warehouse Debt'!$C$25&gt;E13,E13+1,"")</f>
        <v/>
      </c>
      <c r="F14" s="500" t="str">
        <f t="shared" si="0"/>
        <v/>
      </c>
      <c r="G14" s="500" t="str">
        <f t="shared" si="1"/>
        <v/>
      </c>
      <c r="H14" s="500" t="str">
        <f t="shared" si="2"/>
        <v/>
      </c>
      <c r="I14" s="500" t="str">
        <f>IF('Warehouse Debt'!E14="","",IF(AND('Input Page'!$F$119&gt;0)*OR('Input Page'!$F$119='Warehouse Debt'!E14,,'Input Page'!$F$119&gt;'Warehouse Debt'!E14),0,G14-H14))</f>
        <v/>
      </c>
      <c r="J14" s="563" t="str">
        <f t="shared" si="3"/>
        <v/>
      </c>
    </row>
    <row r="15" spans="1:10">
      <c r="A15" s="135" t="s">
        <v>334</v>
      </c>
      <c r="B15" s="7"/>
      <c r="C15" s="561">
        <f>'Input Page'!F107</f>
        <v>0</v>
      </c>
      <c r="E15" s="1406" t="str">
        <f>IF('Warehouse Debt'!$C$25&gt;E14,E14+1,"")</f>
        <v/>
      </c>
      <c r="F15" s="500" t="str">
        <f t="shared" si="0"/>
        <v/>
      </c>
      <c r="G15" s="500" t="str">
        <f t="shared" si="1"/>
        <v/>
      </c>
      <c r="H15" s="500" t="str">
        <f t="shared" si="2"/>
        <v/>
      </c>
      <c r="I15" s="500" t="str">
        <f>IF('Warehouse Debt'!E15="","",IF(AND('Input Page'!$F$119&gt;0)*OR('Input Page'!$F$119='Warehouse Debt'!E15,,'Input Page'!$F$119&gt;'Warehouse Debt'!E15),0,G15-H15))</f>
        <v/>
      </c>
      <c r="J15" s="563" t="str">
        <f t="shared" si="3"/>
        <v/>
      </c>
    </row>
    <row r="16" spans="1:10">
      <c r="A16" s="135" t="s">
        <v>335</v>
      </c>
      <c r="B16" s="7"/>
      <c r="C16" s="555" t="e">
        <f>C14/C15</f>
        <v>#DIV/0!</v>
      </c>
      <c r="E16" s="1406" t="str">
        <f>IF('Warehouse Debt'!$C$25&gt;E15,E15+1,"")</f>
        <v/>
      </c>
      <c r="F16" s="500" t="str">
        <f t="shared" si="0"/>
        <v/>
      </c>
      <c r="G16" s="500" t="str">
        <f t="shared" si="1"/>
        <v/>
      </c>
      <c r="H16" s="500" t="str">
        <f t="shared" si="2"/>
        <v/>
      </c>
      <c r="I16" s="500" t="str">
        <f>IF('Warehouse Debt'!E16="","",IF(AND('Input Page'!$F$119&gt;0)*OR('Input Page'!$F$119='Warehouse Debt'!E16,,'Input Page'!$F$119&gt;'Warehouse Debt'!E16),0,G16-H16))</f>
        <v/>
      </c>
      <c r="J16" s="563" t="str">
        <f t="shared" si="3"/>
        <v/>
      </c>
    </row>
    <row r="17" spans="1:10">
      <c r="A17" s="135" t="s">
        <v>336</v>
      </c>
      <c r="B17" s="7"/>
      <c r="C17" s="562">
        <f>'Input Page'!F110</f>
        <v>0</v>
      </c>
      <c r="E17" s="1406" t="str">
        <f>IF('Warehouse Debt'!$C$25&gt;E16,E16+1,"")</f>
        <v/>
      </c>
      <c r="F17" s="500" t="str">
        <f t="shared" si="0"/>
        <v/>
      </c>
      <c r="G17" s="500" t="str">
        <f t="shared" si="1"/>
        <v/>
      </c>
      <c r="H17" s="500" t="str">
        <f t="shared" si="2"/>
        <v/>
      </c>
      <c r="I17" s="500" t="str">
        <f>IF('Warehouse Debt'!E17="","",IF(AND('Input Page'!$F$119&gt;0)*OR('Input Page'!$F$119='Warehouse Debt'!E17,,'Input Page'!$F$119&gt;'Warehouse Debt'!E17),0,G17-H17))</f>
        <v/>
      </c>
      <c r="J17" s="563" t="str">
        <f t="shared" si="3"/>
        <v/>
      </c>
    </row>
    <row r="18" spans="1:10" ht="16.5" thickBot="1">
      <c r="A18" s="135" t="s">
        <v>337</v>
      </c>
      <c r="B18" s="7"/>
      <c r="C18" s="555" t="e">
        <f>C16*C17</f>
        <v>#DIV/0!</v>
      </c>
      <c r="E18" s="1406" t="str">
        <f>IF('Warehouse Debt'!$C$25&gt;E17,E17+1,"")</f>
        <v/>
      </c>
      <c r="F18" s="500" t="str">
        <f t="shared" si="0"/>
        <v/>
      </c>
      <c r="G18" s="500" t="str">
        <f t="shared" si="1"/>
        <v/>
      </c>
      <c r="H18" s="500" t="str">
        <f t="shared" si="2"/>
        <v/>
      </c>
      <c r="I18" s="500" t="str">
        <f>IF('Warehouse Debt'!E18="","",IF(AND('Input Page'!$F$119&gt;0)*OR('Input Page'!$F$119='Warehouse Debt'!E18,,'Input Page'!$F$119&gt;'Warehouse Debt'!E18),0,G18-H18))</f>
        <v/>
      </c>
      <c r="J18" s="563" t="str">
        <f t="shared" si="3"/>
        <v/>
      </c>
    </row>
    <row r="19" spans="1:10" ht="16.5" thickBot="1">
      <c r="A19" s="1717" t="s">
        <v>338</v>
      </c>
      <c r="B19" s="1718"/>
      <c r="C19" s="1719"/>
      <c r="E19" s="1406" t="str">
        <f>IF('Warehouse Debt'!$C$25&gt;E18,E18+1,"")</f>
        <v/>
      </c>
      <c r="F19" s="500" t="str">
        <f t="shared" si="0"/>
        <v/>
      </c>
      <c r="G19" s="500" t="str">
        <f t="shared" si="1"/>
        <v/>
      </c>
      <c r="H19" s="500" t="str">
        <f t="shared" si="2"/>
        <v/>
      </c>
      <c r="I19" s="500" t="str">
        <f>IF('Warehouse Debt'!E19="","",IF(AND('Input Page'!$F$119&gt;0)*OR('Input Page'!$F$119='Warehouse Debt'!E19,,'Input Page'!$F$119&gt;'Warehouse Debt'!E19),0,G19-H19))</f>
        <v/>
      </c>
      <c r="J19" s="563" t="str">
        <f t="shared" si="3"/>
        <v/>
      </c>
    </row>
    <row r="20" spans="1:10">
      <c r="A20" s="135" t="s">
        <v>326</v>
      </c>
      <c r="B20" s="7"/>
      <c r="C20" s="555">
        <f>C10</f>
        <v>-34095</v>
      </c>
      <c r="E20" s="1406" t="str">
        <f>IF('Warehouse Debt'!$C$25&gt;E19,E19+1,"")</f>
        <v/>
      </c>
      <c r="F20" s="500" t="str">
        <f t="shared" si="0"/>
        <v/>
      </c>
      <c r="G20" s="500" t="str">
        <f t="shared" si="1"/>
        <v/>
      </c>
      <c r="H20" s="500" t="str">
        <f t="shared" si="2"/>
        <v/>
      </c>
      <c r="I20" s="500" t="str">
        <f>IF('Warehouse Debt'!E20="","",IF(AND('Input Page'!$F$119&gt;0)*OR('Input Page'!$F$119='Warehouse Debt'!E20,,'Input Page'!$F$119&gt;'Warehouse Debt'!E20),0,G20-H20))</f>
        <v/>
      </c>
      <c r="J20" s="563" t="str">
        <f t="shared" si="3"/>
        <v/>
      </c>
    </row>
    <row r="21" spans="1:10">
      <c r="A21" s="135" t="s">
        <v>339</v>
      </c>
      <c r="B21" s="7"/>
      <c r="C21" s="555" t="e">
        <f>C20/C24</f>
        <v>#DIV/0!</v>
      </c>
      <c r="E21" s="1406" t="str">
        <f>IF('Warehouse Debt'!$C$25&gt;E20,E20+1,"")</f>
        <v/>
      </c>
      <c r="F21" s="500" t="str">
        <f t="shared" si="0"/>
        <v/>
      </c>
      <c r="G21" s="500" t="str">
        <f t="shared" si="1"/>
        <v/>
      </c>
      <c r="H21" s="500" t="str">
        <f t="shared" si="2"/>
        <v/>
      </c>
      <c r="I21" s="500" t="str">
        <f>IF('Warehouse Debt'!E21="","",IF(AND('Input Page'!$F$119&gt;0)*OR('Input Page'!$F$119='Warehouse Debt'!E21,,'Input Page'!$F$119&gt;'Warehouse Debt'!E21),0,G21-H21))</f>
        <v/>
      </c>
      <c r="J21" s="563" t="str">
        <f t="shared" si="3"/>
        <v/>
      </c>
    </row>
    <row r="22" spans="1:10">
      <c r="A22" s="135" t="s">
        <v>340</v>
      </c>
      <c r="B22" s="7"/>
      <c r="C22" s="555" t="e">
        <f>C20-C21</f>
        <v>#DIV/0!</v>
      </c>
      <c r="E22" s="1406" t="str">
        <f>IF('Warehouse Debt'!$C$25&gt;E21,E21+1,"")</f>
        <v/>
      </c>
      <c r="F22" s="500" t="str">
        <f t="shared" si="0"/>
        <v/>
      </c>
      <c r="G22" s="500" t="str">
        <f t="shared" si="1"/>
        <v/>
      </c>
      <c r="H22" s="500" t="str">
        <f t="shared" si="2"/>
        <v/>
      </c>
      <c r="I22" s="500" t="str">
        <f>IF('Warehouse Debt'!E22="","",IF(AND('Input Page'!$F$119&gt;0)*OR('Input Page'!$F$119='Warehouse Debt'!E22,,'Input Page'!$F$119&gt;'Warehouse Debt'!E22),0,G22-H22))</f>
        <v/>
      </c>
      <c r="J22" s="563" t="str">
        <f t="shared" si="3"/>
        <v/>
      </c>
    </row>
    <row r="23" spans="1:10">
      <c r="A23" s="135"/>
      <c r="B23" s="7"/>
      <c r="C23" s="140"/>
      <c r="E23" s="1406" t="str">
        <f>IF('Warehouse Debt'!$C$25&gt;E22,E22+1,"")</f>
        <v/>
      </c>
      <c r="F23" s="500" t="str">
        <f t="shared" si="0"/>
        <v/>
      </c>
      <c r="G23" s="500" t="str">
        <f t="shared" si="1"/>
        <v/>
      </c>
      <c r="H23" s="500" t="str">
        <f t="shared" si="2"/>
        <v/>
      </c>
      <c r="I23" s="500" t="str">
        <f>IF('Warehouse Debt'!E23="","",IF(AND('Input Page'!$F$119&gt;0)*OR('Input Page'!$F$119='Warehouse Debt'!E23,,'Input Page'!$F$119&gt;'Warehouse Debt'!E23),0,G23-H23))</f>
        <v/>
      </c>
      <c r="J23" s="563" t="str">
        <f t="shared" si="3"/>
        <v/>
      </c>
    </row>
    <row r="24" spans="1:10">
      <c r="A24" s="135" t="s">
        <v>341</v>
      </c>
      <c r="B24" s="7"/>
      <c r="C24" s="631">
        <f>'Input Page'!F113</f>
        <v>0</v>
      </c>
      <c r="E24" s="1406" t="str">
        <f>IF('Warehouse Debt'!$C$25&gt;E23,E23+1,"")</f>
        <v/>
      </c>
      <c r="F24" s="500" t="str">
        <f t="shared" si="0"/>
        <v/>
      </c>
      <c r="G24" s="500" t="str">
        <f t="shared" si="1"/>
        <v/>
      </c>
      <c r="H24" s="500" t="str">
        <f t="shared" si="2"/>
        <v/>
      </c>
      <c r="I24" s="500" t="str">
        <f>IF('Warehouse Debt'!E24="","",IF(AND('Input Page'!$F$119&gt;0)*OR('Input Page'!$F$119='Warehouse Debt'!E24,,'Input Page'!$F$119&gt;'Warehouse Debt'!E24),0,G24-H24))</f>
        <v/>
      </c>
      <c r="J24" s="563" t="str">
        <f t="shared" si="3"/>
        <v/>
      </c>
    </row>
    <row r="25" spans="1:10">
      <c r="A25" s="135" t="s">
        <v>342</v>
      </c>
      <c r="B25" s="7"/>
      <c r="C25" s="555">
        <f>'Input Page'!F114</f>
        <v>0</v>
      </c>
      <c r="E25" s="1406" t="str">
        <f>IF('Warehouse Debt'!$C$25&gt;E24,E24+1,"")</f>
        <v/>
      </c>
      <c r="F25" s="500" t="str">
        <f t="shared" si="0"/>
        <v/>
      </c>
      <c r="G25" s="500" t="str">
        <f t="shared" si="1"/>
        <v/>
      </c>
      <c r="H25" s="500" t="str">
        <f t="shared" si="2"/>
        <v/>
      </c>
      <c r="I25" s="500" t="str">
        <f>IF('Warehouse Debt'!E25="","",IF(AND('Input Page'!$F$119&gt;0)*OR('Input Page'!$F$119='Warehouse Debt'!E25,,'Input Page'!$F$119&gt;'Warehouse Debt'!E25),0,G25-H25))</f>
        <v/>
      </c>
      <c r="J25" s="563" t="str">
        <f t="shared" si="3"/>
        <v/>
      </c>
    </row>
    <row r="26" spans="1:10">
      <c r="A26" s="135"/>
      <c r="B26" s="7"/>
      <c r="C26" s="140"/>
      <c r="E26" s="1406" t="str">
        <f>IF('Warehouse Debt'!$C$25&gt;E25,E25+1,"")</f>
        <v/>
      </c>
      <c r="F26" s="500" t="str">
        <f t="shared" si="0"/>
        <v/>
      </c>
      <c r="G26" s="500" t="str">
        <f t="shared" si="1"/>
        <v/>
      </c>
      <c r="H26" s="500" t="str">
        <f t="shared" si="2"/>
        <v/>
      </c>
      <c r="I26" s="500" t="str">
        <f>IF('Warehouse Debt'!E26="","",IF(AND('Input Page'!$F$119&gt;0)*OR('Input Page'!$F$119='Warehouse Debt'!E26,,'Input Page'!$F$119&gt;'Warehouse Debt'!E26),0,G26-H26))</f>
        <v/>
      </c>
      <c r="J26" s="563" t="str">
        <f t="shared" si="3"/>
        <v/>
      </c>
    </row>
    <row r="27" spans="1:10">
      <c r="A27" s="135" t="s">
        <v>267</v>
      </c>
      <c r="B27" s="7"/>
      <c r="C27" s="559">
        <f>'Input Page'!F115</f>
        <v>0</v>
      </c>
      <c r="E27" s="1406" t="str">
        <f>IF('Warehouse Debt'!$C$25&gt;E26,E26+1,"")</f>
        <v/>
      </c>
      <c r="F27" s="500" t="str">
        <f t="shared" si="0"/>
        <v/>
      </c>
      <c r="G27" s="500" t="str">
        <f t="shared" si="1"/>
        <v/>
      </c>
      <c r="H27" s="500" t="str">
        <f t="shared" si="2"/>
        <v/>
      </c>
      <c r="I27" s="500" t="str">
        <f>IF('Warehouse Debt'!E27="","",IF(AND('Input Page'!$F$119&gt;0)*OR('Input Page'!$F$119='Warehouse Debt'!E27,,'Input Page'!$F$119&gt;'Warehouse Debt'!E27),0,G27-H27))</f>
        <v/>
      </c>
      <c r="J27" s="563" t="str">
        <f t="shared" si="3"/>
        <v/>
      </c>
    </row>
    <row r="28" spans="1:10">
      <c r="A28" s="135" t="s">
        <v>343</v>
      </c>
      <c r="B28" s="7"/>
      <c r="C28" s="559">
        <f>IF('Input Page'!F116="Yes",0.25%,0)</f>
        <v>0</v>
      </c>
      <c r="E28" s="1406" t="str">
        <f>IF('Warehouse Debt'!$C$25&gt;E27,E27+1,"")</f>
        <v/>
      </c>
      <c r="F28" s="500" t="str">
        <f t="shared" si="0"/>
        <v/>
      </c>
      <c r="G28" s="500" t="str">
        <f t="shared" si="1"/>
        <v/>
      </c>
      <c r="H28" s="500" t="str">
        <f t="shared" si="2"/>
        <v/>
      </c>
      <c r="I28" s="500" t="str">
        <f>IF('Warehouse Debt'!E28="","",IF(AND('Input Page'!$F$119&gt;0)*OR('Input Page'!$F$119='Warehouse Debt'!E28,,'Input Page'!$F$119&gt;'Warehouse Debt'!E28),0,G28-H28))</f>
        <v/>
      </c>
      <c r="J28" s="563" t="str">
        <f t="shared" si="3"/>
        <v/>
      </c>
    </row>
    <row r="29" spans="1:10" ht="16.5" thickBot="1">
      <c r="A29" s="135" t="s">
        <v>344</v>
      </c>
      <c r="B29" s="7"/>
      <c r="C29" s="560">
        <f>SUM(C27:C28)</f>
        <v>0</v>
      </c>
      <c r="E29" s="1406" t="str">
        <f>IF('Warehouse Debt'!$C$25&gt;E28,E28+1,"")</f>
        <v/>
      </c>
      <c r="F29" s="500" t="str">
        <f t="shared" si="0"/>
        <v/>
      </c>
      <c r="G29" s="500" t="str">
        <f t="shared" si="1"/>
        <v/>
      </c>
      <c r="H29" s="500" t="str">
        <f t="shared" si="2"/>
        <v/>
      </c>
      <c r="I29" s="500" t="str">
        <f>IF('Warehouse Debt'!E29="","",IF(AND('Input Page'!$F$119&gt;0)*OR('Input Page'!$F$119='Warehouse Debt'!E29,,'Input Page'!$F$119&gt;'Warehouse Debt'!E29),0,G29-H29))</f>
        <v/>
      </c>
      <c r="J29" s="563" t="str">
        <f t="shared" si="3"/>
        <v/>
      </c>
    </row>
    <row r="30" spans="1:10" ht="16.5" thickTop="1">
      <c r="A30" s="135"/>
      <c r="B30" s="7"/>
      <c r="C30" s="140"/>
      <c r="E30" s="1406" t="str">
        <f>IF('Warehouse Debt'!$C$25&gt;E29,E29+1,"")</f>
        <v/>
      </c>
      <c r="F30" s="500" t="str">
        <f t="shared" si="0"/>
        <v/>
      </c>
      <c r="G30" s="500" t="str">
        <f t="shared" si="1"/>
        <v/>
      </c>
      <c r="H30" s="500" t="str">
        <f t="shared" si="2"/>
        <v/>
      </c>
      <c r="I30" s="500" t="str">
        <f>IF('Warehouse Debt'!E30="","",IF(AND('Input Page'!$F$119&gt;0)*OR('Input Page'!$F$119='Warehouse Debt'!E30,,'Input Page'!$F$119&gt;'Warehouse Debt'!E30),0,G30-H30))</f>
        <v/>
      </c>
      <c r="J30" s="563" t="str">
        <f t="shared" si="3"/>
        <v/>
      </c>
    </row>
    <row r="31" spans="1:10" ht="16.5" thickBot="1">
      <c r="A31" s="135" t="s">
        <v>345</v>
      </c>
      <c r="B31" s="7"/>
      <c r="C31" s="555" t="e">
        <f>PV(C27/12,C25*12,-C20/C24)/12</f>
        <v>#DIV/0!</v>
      </c>
      <c r="E31" s="1406" t="str">
        <f>IF('Warehouse Debt'!$C$25&gt;E30,E30+1,"")</f>
        <v/>
      </c>
      <c r="F31" s="500" t="str">
        <f t="shared" si="0"/>
        <v/>
      </c>
      <c r="G31" s="500" t="str">
        <f t="shared" si="1"/>
        <v/>
      </c>
      <c r="H31" s="500" t="str">
        <f t="shared" si="2"/>
        <v/>
      </c>
      <c r="I31" s="500" t="str">
        <f>IF('Warehouse Debt'!E31="","",IF(AND('Input Page'!$F$119&gt;0)*OR('Input Page'!$F$119='Warehouse Debt'!E31,,'Input Page'!$F$119&gt;'Warehouse Debt'!E31),0,G31-H31))</f>
        <v/>
      </c>
      <c r="J31" s="563" t="str">
        <f t="shared" si="3"/>
        <v/>
      </c>
    </row>
    <row r="32" spans="1:10" ht="16.5" thickBot="1">
      <c r="A32" s="1717" t="s">
        <v>346</v>
      </c>
      <c r="B32" s="1718"/>
      <c r="C32" s="1719"/>
      <c r="E32" s="1406" t="str">
        <f>IF('Warehouse Debt'!$C$25&gt;E31,E31+1,"")</f>
        <v/>
      </c>
      <c r="F32" s="500" t="str">
        <f t="shared" si="0"/>
        <v/>
      </c>
      <c r="G32" s="500" t="str">
        <f t="shared" si="1"/>
        <v/>
      </c>
      <c r="H32" s="500" t="str">
        <f t="shared" si="2"/>
        <v/>
      </c>
      <c r="I32" s="500" t="str">
        <f>IF('Warehouse Debt'!E32="","",IF(AND('Input Page'!$F$119&gt;0)*OR('Input Page'!$F$119='Warehouse Debt'!E32,,'Input Page'!$F$119&gt;'Warehouse Debt'!E32),0,G32-H32))</f>
        <v/>
      </c>
      <c r="J32" s="563" t="str">
        <f t="shared" si="3"/>
        <v/>
      </c>
    </row>
    <row r="33" spans="1:10">
      <c r="A33" s="135" t="s">
        <v>347</v>
      </c>
      <c r="B33" s="7"/>
      <c r="C33" s="555" t="e">
        <f>ROUND(C18,-4)</f>
        <v>#DIV/0!</v>
      </c>
      <c r="E33" s="1406" t="str">
        <f>IF('Warehouse Debt'!$C$25&gt;E32,E32+1,"")</f>
        <v/>
      </c>
      <c r="F33" s="500" t="str">
        <f t="shared" si="0"/>
        <v/>
      </c>
      <c r="G33" s="500" t="str">
        <f t="shared" si="1"/>
        <v/>
      </c>
      <c r="H33" s="500" t="str">
        <f t="shared" si="2"/>
        <v/>
      </c>
      <c r="I33" s="500" t="str">
        <f>IF('Warehouse Debt'!E33="","",IF(AND('Input Page'!$F$119&gt;0)*OR('Input Page'!$F$119='Warehouse Debt'!E33,,'Input Page'!$F$119&gt;'Warehouse Debt'!E33),0,G33-H33))</f>
        <v/>
      </c>
      <c r="J33" s="563" t="str">
        <f t="shared" si="3"/>
        <v/>
      </c>
    </row>
    <row r="34" spans="1:10">
      <c r="A34" s="135" t="s">
        <v>348</v>
      </c>
      <c r="B34" s="7"/>
      <c r="C34" s="555" t="e">
        <f>ROUND(C31,-4)</f>
        <v>#DIV/0!</v>
      </c>
      <c r="E34" s="1406" t="str">
        <f>IF('Warehouse Debt'!$C$25&gt;E33,E33+1,"")</f>
        <v/>
      </c>
      <c r="F34" s="500" t="str">
        <f t="shared" si="0"/>
        <v/>
      </c>
      <c r="G34" s="500" t="str">
        <f t="shared" si="1"/>
        <v/>
      </c>
      <c r="H34" s="500" t="str">
        <f t="shared" si="2"/>
        <v/>
      </c>
      <c r="I34" s="500" t="str">
        <f>IF('Warehouse Debt'!E34="","",IF(AND('Input Page'!$F$119&gt;0)*OR('Input Page'!$F$119='Warehouse Debt'!E34,,'Input Page'!$F$119&gt;'Warehouse Debt'!E34),0,G34-H34))</f>
        <v/>
      </c>
      <c r="J34" s="563" t="str">
        <f t="shared" si="3"/>
        <v/>
      </c>
    </row>
    <row r="35" spans="1:10" ht="16.5" thickBot="1">
      <c r="A35" s="170" t="s">
        <v>349</v>
      </c>
      <c r="B35" s="139"/>
      <c r="C35" s="556" t="e">
        <f>ROUNDDOWN(MIN(C33:C34),-3)</f>
        <v>#DIV/0!</v>
      </c>
      <c r="E35" s="1406" t="str">
        <f>IF('Warehouse Debt'!$C$25&gt;E34,E34+1,"")</f>
        <v/>
      </c>
      <c r="F35" s="500" t="str">
        <f t="shared" si="0"/>
        <v/>
      </c>
      <c r="G35" s="500" t="str">
        <f t="shared" si="1"/>
        <v/>
      </c>
      <c r="H35" s="500" t="str">
        <f t="shared" si="2"/>
        <v/>
      </c>
      <c r="I35" s="500" t="str">
        <f>IF('Warehouse Debt'!E35="","",IF(AND('Input Page'!$F$119&gt;0)*OR('Input Page'!$F$119='Warehouse Debt'!E35,,'Input Page'!$F$119&gt;'Warehouse Debt'!E35),0,G35-H35))</f>
        <v/>
      </c>
      <c r="J35" s="563" t="str">
        <f t="shared" si="3"/>
        <v/>
      </c>
    </row>
    <row r="36" spans="1:10" ht="16.5" thickBot="1">
      <c r="A36" s="1019" t="s">
        <v>350</v>
      </c>
      <c r="B36" s="1020">
        <f>'Input Page'!F119</f>
        <v>3</v>
      </c>
      <c r="C36" s="1021" t="e">
        <f>IF(B36&gt;0,(B36/12)*C35*C29,0)</f>
        <v>#DIV/0!</v>
      </c>
      <c r="E36" s="1406" t="str">
        <f>IF('Warehouse Debt'!$C$25&gt;E35,E35+1,"")</f>
        <v/>
      </c>
      <c r="F36" s="500" t="str">
        <f t="shared" si="0"/>
        <v/>
      </c>
      <c r="G36" s="500" t="str">
        <f t="shared" si="1"/>
        <v/>
      </c>
      <c r="H36" s="500" t="str">
        <f t="shared" si="2"/>
        <v/>
      </c>
      <c r="I36" s="500" t="str">
        <f>IF('Warehouse Debt'!E36="","",IF(AND('Input Page'!$F$119&gt;0)*OR('Input Page'!$F$119='Warehouse Debt'!E36,,'Input Page'!$F$119&gt;'Warehouse Debt'!E36),0,G36-H36))</f>
        <v/>
      </c>
      <c r="J36" s="563" t="str">
        <f t="shared" si="3"/>
        <v/>
      </c>
    </row>
    <row r="37" spans="1:10">
      <c r="A37" s="1018"/>
      <c r="B37" s="7"/>
      <c r="C37" s="1017"/>
      <c r="E37" s="1406" t="str">
        <f>IF('Warehouse Debt'!$C$25&gt;E36,E36+1,"")</f>
        <v/>
      </c>
      <c r="F37" s="500" t="str">
        <f t="shared" si="0"/>
        <v/>
      </c>
      <c r="G37" s="500" t="str">
        <f t="shared" si="1"/>
        <v/>
      </c>
      <c r="H37" s="500" t="str">
        <f t="shared" si="2"/>
        <v/>
      </c>
      <c r="I37" s="500" t="str">
        <f>IF('Warehouse Debt'!E37="","",IF(AND('Input Page'!$F$119&gt;0)*OR('Input Page'!$F$119='Warehouse Debt'!E37,,'Input Page'!$F$119&gt;'Warehouse Debt'!E37),0,G37-H37))</f>
        <v/>
      </c>
      <c r="J37" s="563" t="str">
        <f t="shared" si="3"/>
        <v/>
      </c>
    </row>
    <row r="38" spans="1:10">
      <c r="A38" s="7"/>
      <c r="B38" s="7"/>
      <c r="C38" s="1017"/>
      <c r="E38" s="1406" t="str">
        <f>IF('Warehouse Debt'!$C$25&gt;E37,E37+1,"")</f>
        <v/>
      </c>
      <c r="F38" s="500" t="str">
        <f t="shared" si="0"/>
        <v/>
      </c>
      <c r="G38" s="500" t="str">
        <f t="shared" si="1"/>
        <v/>
      </c>
      <c r="H38" s="500" t="str">
        <f t="shared" si="2"/>
        <v/>
      </c>
      <c r="I38" s="500" t="str">
        <f>IF('Warehouse Debt'!E38="","",IF(AND('Input Page'!$F$119&gt;0)*OR('Input Page'!$F$119='Warehouse Debt'!E38,,'Input Page'!$F$119&gt;'Warehouse Debt'!E38),0,G38-H38))</f>
        <v/>
      </c>
      <c r="J38" s="563" t="str">
        <f t="shared" si="3"/>
        <v/>
      </c>
    </row>
    <row r="39" spans="1:10">
      <c r="A39" s="7"/>
      <c r="B39" s="7"/>
      <c r="C39" s="1017"/>
      <c r="E39" s="1406" t="str">
        <f>IF('Warehouse Debt'!$C$25&gt;E38,E38+1,"")</f>
        <v/>
      </c>
      <c r="F39" s="500" t="str">
        <f t="shared" si="0"/>
        <v/>
      </c>
      <c r="G39" s="500" t="str">
        <f t="shared" si="1"/>
        <v/>
      </c>
      <c r="H39" s="500" t="str">
        <f t="shared" si="2"/>
        <v/>
      </c>
      <c r="I39" s="500" t="str">
        <f>IF('Warehouse Debt'!E39="","",IF(AND('Input Page'!$F$119&gt;0)*OR('Input Page'!$F$119='Warehouse Debt'!E39,,'Input Page'!$F$119&gt;'Warehouse Debt'!E39),0,G39-H39))</f>
        <v/>
      </c>
      <c r="J39" s="563" t="str">
        <f t="shared" si="3"/>
        <v/>
      </c>
    </row>
    <row r="40" spans="1:10">
      <c r="A40" s="7"/>
      <c r="B40" s="7"/>
      <c r="C40" s="7"/>
      <c r="E40" s="1406" t="str">
        <f>IF('Warehouse Debt'!$C$25&gt;E39,E39+1,"")</f>
        <v/>
      </c>
      <c r="F40" s="500" t="str">
        <f t="shared" si="0"/>
        <v/>
      </c>
      <c r="G40" s="500" t="str">
        <f t="shared" si="1"/>
        <v/>
      </c>
      <c r="H40" s="500" t="str">
        <f t="shared" si="2"/>
        <v/>
      </c>
      <c r="I40" s="500" t="str">
        <f>IF('Warehouse Debt'!E40="","",IF(AND('Input Page'!$F$119&gt;0)*OR('Input Page'!$F$119='Warehouse Debt'!E40,,'Input Page'!$F$119&gt;'Warehouse Debt'!E40),0,G40-H40))</f>
        <v/>
      </c>
      <c r="J40" s="563" t="str">
        <f t="shared" si="3"/>
        <v/>
      </c>
    </row>
    <row r="41" spans="1:10">
      <c r="E41" s="1406" t="str">
        <f>IF('Warehouse Debt'!$C$25&gt;E40,E40+1,"")</f>
        <v/>
      </c>
      <c r="F41" s="500" t="str">
        <f t="shared" si="0"/>
        <v/>
      </c>
      <c r="G41" s="500" t="str">
        <f t="shared" si="1"/>
        <v/>
      </c>
      <c r="H41" s="500" t="str">
        <f t="shared" si="2"/>
        <v/>
      </c>
      <c r="I41" s="500" t="str">
        <f>IF('Warehouse Debt'!E41="","",IF(AND('Input Page'!$F$119&gt;0)*OR('Input Page'!$F$119='Warehouse Debt'!E41,,'Input Page'!$F$119&gt;'Warehouse Debt'!E41),0,G41-H41))</f>
        <v/>
      </c>
      <c r="J41" s="563" t="str">
        <f t="shared" si="3"/>
        <v/>
      </c>
    </row>
    <row r="42" spans="1:10">
      <c r="E42" s="1406" t="str">
        <f>IF('Warehouse Debt'!$C$25&gt;E41,E41+1,"")</f>
        <v/>
      </c>
      <c r="F42" s="500" t="str">
        <f t="shared" si="0"/>
        <v/>
      </c>
      <c r="G42" s="500" t="str">
        <f t="shared" si="1"/>
        <v/>
      </c>
      <c r="H42" s="500" t="str">
        <f t="shared" si="2"/>
        <v/>
      </c>
      <c r="I42" s="500" t="str">
        <f>IF('Warehouse Debt'!E42="","",IF(AND('Input Page'!$F$119&gt;0)*OR('Input Page'!$F$119='Warehouse Debt'!E42,,'Input Page'!$F$119&gt;'Warehouse Debt'!E42),0,G42-H42))</f>
        <v/>
      </c>
      <c r="J42" s="563" t="str">
        <f t="shared" si="3"/>
        <v/>
      </c>
    </row>
    <row r="43" spans="1:10">
      <c r="E43" s="1406" t="str">
        <f>IF('Warehouse Debt'!$C$25&gt;E42,E42+1,"")</f>
        <v/>
      </c>
      <c r="F43" s="500" t="str">
        <f t="shared" si="0"/>
        <v/>
      </c>
      <c r="G43" s="500" t="str">
        <f t="shared" si="1"/>
        <v/>
      </c>
      <c r="H43" s="500" t="str">
        <f t="shared" si="2"/>
        <v/>
      </c>
      <c r="I43" s="500" t="str">
        <f>IF('Warehouse Debt'!E43="","",IF(AND('Input Page'!$F$119&gt;0)*OR('Input Page'!$F$119='Warehouse Debt'!E43,,'Input Page'!$F$119&gt;'Warehouse Debt'!E43),0,G43-H43))</f>
        <v/>
      </c>
      <c r="J43" s="563" t="str">
        <f t="shared" si="3"/>
        <v/>
      </c>
    </row>
    <row r="44" spans="1:10">
      <c r="E44" s="1406" t="str">
        <f>IF('Warehouse Debt'!$C$25&gt;E43,E43+1,"")</f>
        <v/>
      </c>
      <c r="F44" s="500" t="str">
        <f t="shared" si="0"/>
        <v/>
      </c>
      <c r="G44" s="500" t="str">
        <f t="shared" si="1"/>
        <v/>
      </c>
      <c r="H44" s="500" t="str">
        <f t="shared" si="2"/>
        <v/>
      </c>
      <c r="I44" s="500" t="str">
        <f>IF('Warehouse Debt'!E44="","",IF(AND('Input Page'!$F$119&gt;0)*OR('Input Page'!$F$119='Warehouse Debt'!E44,,'Input Page'!$F$119&gt;'Warehouse Debt'!E44),0,G44-H44))</f>
        <v/>
      </c>
      <c r="J44" s="563" t="str">
        <f t="shared" si="3"/>
        <v/>
      </c>
    </row>
    <row r="45" spans="1:10">
      <c r="E45" s="1406" t="str">
        <f>IF('Warehouse Debt'!$C$25&gt;E44,E44+1,"")</f>
        <v/>
      </c>
      <c r="F45" s="500" t="str">
        <f t="shared" si="0"/>
        <v/>
      </c>
      <c r="G45" s="500" t="str">
        <f t="shared" si="1"/>
        <v/>
      </c>
      <c r="H45" s="500" t="str">
        <f t="shared" si="2"/>
        <v/>
      </c>
      <c r="I45" s="500" t="str">
        <f>IF('Warehouse Debt'!E45="","",IF(AND('Input Page'!$F$119&gt;0)*OR('Input Page'!$F$119='Warehouse Debt'!E45,,'Input Page'!$F$119&gt;'Warehouse Debt'!E45),0,G45-H45))</f>
        <v/>
      </c>
      <c r="J45" s="563" t="str">
        <f t="shared" si="3"/>
        <v/>
      </c>
    </row>
    <row r="46" spans="1:10">
      <c r="E46" s="1406" t="str">
        <f>IF('Warehouse Debt'!$C$25&gt;E45,E45+1,"")</f>
        <v/>
      </c>
      <c r="F46" s="500" t="str">
        <f t="shared" si="0"/>
        <v/>
      </c>
      <c r="G46" s="500" t="str">
        <f t="shared" si="1"/>
        <v/>
      </c>
      <c r="H46" s="500" t="str">
        <f t="shared" si="2"/>
        <v/>
      </c>
      <c r="I46" s="500" t="str">
        <f>IF('Warehouse Debt'!E46="","",IF(AND('Input Page'!$F$119&gt;0)*OR('Input Page'!$F$119='Warehouse Debt'!E46,,'Input Page'!$F$119&gt;'Warehouse Debt'!E46),0,G46-H46))</f>
        <v/>
      </c>
      <c r="J46" s="563" t="str">
        <f t="shared" si="3"/>
        <v/>
      </c>
    </row>
    <row r="47" spans="1:10">
      <c r="E47" s="1406" t="str">
        <f>IF('Warehouse Debt'!$C$25&gt;E46,E46+1,"")</f>
        <v/>
      </c>
      <c r="F47" s="500" t="str">
        <f t="shared" si="0"/>
        <v/>
      </c>
      <c r="G47" s="500" t="str">
        <f t="shared" si="1"/>
        <v/>
      </c>
      <c r="H47" s="500" t="str">
        <f t="shared" si="2"/>
        <v/>
      </c>
      <c r="I47" s="500" t="str">
        <f>IF('Warehouse Debt'!E47="","",IF(AND('Input Page'!$F$119&gt;0)*OR('Input Page'!$F$119='Warehouse Debt'!E47,,'Input Page'!$F$119&gt;'Warehouse Debt'!E47),0,G47-H47))</f>
        <v/>
      </c>
      <c r="J47" s="563" t="str">
        <f t="shared" si="3"/>
        <v/>
      </c>
    </row>
    <row r="48" spans="1:10">
      <c r="E48" s="1406" t="str">
        <f>IF('Warehouse Debt'!$C$25&gt;E47,E47+1,"")</f>
        <v/>
      </c>
      <c r="F48" s="500" t="str">
        <f t="shared" si="0"/>
        <v/>
      </c>
      <c r="G48" s="500" t="str">
        <f t="shared" si="1"/>
        <v/>
      </c>
      <c r="H48" s="500" t="str">
        <f t="shared" si="2"/>
        <v/>
      </c>
      <c r="I48" s="500" t="str">
        <f>IF('Warehouse Debt'!E48="","",IF(AND('Input Page'!$F$119&gt;0)*OR('Input Page'!$F$119='Warehouse Debt'!E48,,'Input Page'!$F$119&gt;'Warehouse Debt'!E48),0,G48-H48))</f>
        <v/>
      </c>
      <c r="J48" s="563" t="str">
        <f t="shared" si="3"/>
        <v/>
      </c>
    </row>
    <row r="49" spans="5:10">
      <c r="E49" s="1406" t="str">
        <f>IF('Warehouse Debt'!$C$25&gt;E48,E48+1,"")</f>
        <v/>
      </c>
      <c r="F49" s="500" t="str">
        <f t="shared" si="0"/>
        <v/>
      </c>
      <c r="G49" s="500" t="str">
        <f t="shared" si="1"/>
        <v/>
      </c>
      <c r="H49" s="500" t="str">
        <f t="shared" si="2"/>
        <v/>
      </c>
      <c r="I49" s="500" t="str">
        <f>IF('Warehouse Debt'!E49="","",IF(AND('Input Page'!$F$119&gt;0)*OR('Input Page'!$F$119='Warehouse Debt'!E49,,'Input Page'!$F$119&gt;'Warehouse Debt'!E49),0,G49-H49))</f>
        <v/>
      </c>
      <c r="J49" s="563" t="str">
        <f t="shared" si="3"/>
        <v/>
      </c>
    </row>
    <row r="50" spans="5:10">
      <c r="E50" s="1406" t="str">
        <f>IF('Warehouse Debt'!$C$25&gt;E49,E49+1,"")</f>
        <v/>
      </c>
      <c r="F50" s="500" t="str">
        <f t="shared" si="0"/>
        <v/>
      </c>
      <c r="G50" s="500" t="str">
        <f t="shared" si="1"/>
        <v/>
      </c>
      <c r="H50" s="500" t="str">
        <f t="shared" si="2"/>
        <v/>
      </c>
      <c r="I50" s="500" t="str">
        <f>IF('Warehouse Debt'!E50="","",IF(AND('Input Page'!$F$119&gt;0)*OR('Input Page'!$F$119='Warehouse Debt'!E50,,'Input Page'!$F$119&gt;'Warehouse Debt'!E50),0,G50-H50))</f>
        <v/>
      </c>
      <c r="J50" s="563" t="str">
        <f t="shared" si="3"/>
        <v/>
      </c>
    </row>
    <row r="51" spans="5:10">
      <c r="E51" s="1406" t="str">
        <f>IF('Warehouse Debt'!$C$25&gt;E50,E50+1,"")</f>
        <v/>
      </c>
      <c r="F51" s="500" t="str">
        <f t="shared" si="0"/>
        <v/>
      </c>
      <c r="G51" s="500" t="str">
        <f t="shared" si="1"/>
        <v/>
      </c>
      <c r="H51" s="500" t="str">
        <f t="shared" si="2"/>
        <v/>
      </c>
      <c r="I51" s="500" t="str">
        <f>IF('Warehouse Debt'!E51="","",IF(AND('Input Page'!$F$119&gt;0)*OR('Input Page'!$F$119='Warehouse Debt'!E51,,'Input Page'!$F$119&gt;'Warehouse Debt'!E51),0,G51-H51))</f>
        <v/>
      </c>
      <c r="J51" s="563" t="str">
        <f t="shared" si="3"/>
        <v/>
      </c>
    </row>
    <row r="52" spans="5:10">
      <c r="E52" s="135"/>
      <c r="F52" s="485"/>
      <c r="G52" s="485"/>
      <c r="H52" s="485"/>
      <c r="I52" s="485"/>
      <c r="J52" s="555"/>
    </row>
    <row r="53" spans="5:10" ht="16.5" thickBot="1">
      <c r="E53" s="1405"/>
      <c r="F53" s="564" t="str">
        <f>IF(E53="","",J51)</f>
        <v/>
      </c>
      <c r="G53" s="564" t="str">
        <f>IF(E53="","",G51)</f>
        <v/>
      </c>
      <c r="H53" s="564" t="str">
        <f t="shared" ref="H53:H64" si="4">IF(E53="","",F53*$F$7)</f>
        <v/>
      </c>
      <c r="I53" s="564" t="str">
        <f>IF('Warehouse Debt'!E53="","",IF(AND('Input Page'!$F$119&gt;0)*OR('Input Page'!$F$119='Warehouse Debt'!E53,,'Input Page'!$F$119&gt;'Warehouse Debt'!E53),0,G53-H53))</f>
        <v/>
      </c>
      <c r="J53" s="565" t="str">
        <f t="shared" ref="J53:J64" si="5">IF(E53="","",F53-I53)</f>
        <v/>
      </c>
    </row>
    <row r="54" spans="5:10">
      <c r="F54" s="7" t="str">
        <f t="shared" ref="F54:F64" si="6">IF(E54="","",J53)</f>
        <v/>
      </c>
      <c r="G54" s="229" t="str">
        <f t="shared" ref="G54:G64" si="7">IF(E54="","",G53)</f>
        <v/>
      </c>
      <c r="H54" s="7" t="str">
        <f t="shared" si="4"/>
        <v/>
      </c>
      <c r="I54" s="229" t="str">
        <f t="shared" ref="I54:I64" si="8">IF(E54="","",G54-H54)</f>
        <v/>
      </c>
      <c r="J54" s="7" t="str">
        <f t="shared" si="5"/>
        <v/>
      </c>
    </row>
    <row r="55" spans="5:10">
      <c r="F55" s="7" t="str">
        <f t="shared" si="6"/>
        <v/>
      </c>
      <c r="G55" s="229" t="str">
        <f t="shared" si="7"/>
        <v/>
      </c>
      <c r="H55" s="7" t="str">
        <f t="shared" si="4"/>
        <v/>
      </c>
      <c r="I55" s="229" t="str">
        <f t="shared" si="8"/>
        <v/>
      </c>
      <c r="J55" s="7" t="str">
        <f t="shared" si="5"/>
        <v/>
      </c>
    </row>
    <row r="56" spans="5:10">
      <c r="F56" s="7" t="str">
        <f t="shared" si="6"/>
        <v/>
      </c>
      <c r="G56" s="229" t="str">
        <f t="shared" si="7"/>
        <v/>
      </c>
      <c r="H56" s="7" t="str">
        <f t="shared" si="4"/>
        <v/>
      </c>
      <c r="I56" s="229" t="str">
        <f t="shared" si="8"/>
        <v/>
      </c>
      <c r="J56" s="7" t="str">
        <f t="shared" si="5"/>
        <v/>
      </c>
    </row>
    <row r="57" spans="5:10">
      <c r="F57" s="7" t="str">
        <f t="shared" si="6"/>
        <v/>
      </c>
      <c r="G57" s="229" t="str">
        <f t="shared" si="7"/>
        <v/>
      </c>
      <c r="H57" s="7" t="str">
        <f t="shared" si="4"/>
        <v/>
      </c>
      <c r="I57" s="229" t="str">
        <f t="shared" si="8"/>
        <v/>
      </c>
      <c r="J57" s="7" t="str">
        <f t="shared" si="5"/>
        <v/>
      </c>
    </row>
    <row r="58" spans="5:10">
      <c r="F58" s="7" t="str">
        <f t="shared" si="6"/>
        <v/>
      </c>
      <c r="G58" s="229" t="str">
        <f t="shared" si="7"/>
        <v/>
      </c>
      <c r="H58" s="7" t="str">
        <f t="shared" si="4"/>
        <v/>
      </c>
      <c r="I58" s="229" t="str">
        <f t="shared" si="8"/>
        <v/>
      </c>
      <c r="J58" s="7" t="str">
        <f t="shared" si="5"/>
        <v/>
      </c>
    </row>
    <row r="59" spans="5:10">
      <c r="F59" s="7" t="str">
        <f t="shared" si="6"/>
        <v/>
      </c>
      <c r="G59" s="229" t="str">
        <f t="shared" si="7"/>
        <v/>
      </c>
      <c r="H59" s="7" t="str">
        <f t="shared" si="4"/>
        <v/>
      </c>
      <c r="I59" s="229" t="str">
        <f t="shared" si="8"/>
        <v/>
      </c>
      <c r="J59" s="7" t="str">
        <f t="shared" si="5"/>
        <v/>
      </c>
    </row>
    <row r="60" spans="5:10">
      <c r="F60" s="7" t="str">
        <f t="shared" si="6"/>
        <v/>
      </c>
      <c r="G60" s="229" t="str">
        <f t="shared" si="7"/>
        <v/>
      </c>
      <c r="H60" s="7" t="str">
        <f t="shared" si="4"/>
        <v/>
      </c>
      <c r="I60" s="229" t="str">
        <f t="shared" si="8"/>
        <v/>
      </c>
      <c r="J60" s="7" t="str">
        <f t="shared" si="5"/>
        <v/>
      </c>
    </row>
    <row r="61" spans="5:10">
      <c r="F61" s="7" t="str">
        <f t="shared" si="6"/>
        <v/>
      </c>
      <c r="G61" s="229" t="str">
        <f t="shared" si="7"/>
        <v/>
      </c>
      <c r="H61" s="7" t="str">
        <f t="shared" si="4"/>
        <v/>
      </c>
      <c r="I61" s="229" t="str">
        <f t="shared" si="8"/>
        <v/>
      </c>
      <c r="J61" s="7" t="str">
        <f t="shared" si="5"/>
        <v/>
      </c>
    </row>
    <row r="62" spans="5:10">
      <c r="F62" s="7" t="str">
        <f t="shared" si="6"/>
        <v/>
      </c>
      <c r="G62" s="229" t="str">
        <f t="shared" si="7"/>
        <v/>
      </c>
      <c r="H62" s="7" t="str">
        <f t="shared" si="4"/>
        <v/>
      </c>
      <c r="I62" s="229" t="str">
        <f t="shared" si="8"/>
        <v/>
      </c>
      <c r="J62" s="7" t="str">
        <f t="shared" si="5"/>
        <v/>
      </c>
    </row>
    <row r="63" spans="5:10">
      <c r="F63" s="7" t="str">
        <f t="shared" si="6"/>
        <v/>
      </c>
      <c r="G63" s="229" t="str">
        <f t="shared" si="7"/>
        <v/>
      </c>
      <c r="H63" s="7" t="str">
        <f t="shared" si="4"/>
        <v/>
      </c>
      <c r="I63" s="229" t="str">
        <f t="shared" si="8"/>
        <v/>
      </c>
      <c r="J63" s="7" t="str">
        <f t="shared" si="5"/>
        <v/>
      </c>
    </row>
    <row r="64" spans="5:10">
      <c r="F64" s="7" t="str">
        <f t="shared" si="6"/>
        <v/>
      </c>
      <c r="G64" s="229" t="str">
        <f t="shared" si="7"/>
        <v/>
      </c>
      <c r="H64" s="7" t="str">
        <f t="shared" si="4"/>
        <v/>
      </c>
      <c r="I64" s="229" t="str">
        <f t="shared" si="8"/>
        <v/>
      </c>
      <c r="J64" s="7" t="str">
        <f t="shared" si="5"/>
        <v/>
      </c>
    </row>
  </sheetData>
  <mergeCells count="8">
    <mergeCell ref="A1:J1"/>
    <mergeCell ref="A2:J2"/>
    <mergeCell ref="A19:C19"/>
    <mergeCell ref="A32:C32"/>
    <mergeCell ref="A5:C5"/>
    <mergeCell ref="A11:C11"/>
    <mergeCell ref="E5:J5"/>
    <mergeCell ref="G6:H6"/>
  </mergeCells>
  <pageMargins left="0.5" right="0.5" top="0.5" bottom="0.5" header="0.3" footer="0.3"/>
  <pageSetup scale="60" orientation="portrait" horizontalDpi="0" verticalDpi="0" r:id="rId1"/>
  <headerFooter>
    <oddFooter>&amp;LPRIVELEGED AND CONFIDENTIAL&amp;R&amp;G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E524-3684-4CEE-BDFE-6744C93BDE28}">
  <sheetPr>
    <tabColor rgb="FFCCCCFF"/>
  </sheetPr>
  <dimension ref="A1:AG83"/>
  <sheetViews>
    <sheetView zoomScale="80" zoomScaleNormal="80" workbookViewId="0">
      <selection activeCell="B2" sqref="B2:I2"/>
    </sheetView>
  </sheetViews>
  <sheetFormatPr defaultRowHeight="15"/>
  <cols>
    <col min="1" max="1" width="5.85546875" customWidth="1"/>
    <col min="2" max="2" width="43.140625" bestFit="1" customWidth="1"/>
    <col min="4" max="4" width="14.85546875" bestFit="1" customWidth="1"/>
    <col min="5" max="5" width="11" bestFit="1" customWidth="1"/>
    <col min="7" max="7" width="46.85546875" bestFit="1" customWidth="1"/>
    <col min="8" max="8" width="15.85546875" bestFit="1" customWidth="1"/>
    <col min="9" max="9" width="11" bestFit="1" customWidth="1"/>
  </cols>
  <sheetData>
    <row r="1" spans="1:33" ht="21.75" customHeight="1">
      <c r="B1" s="1602" t="str">
        <f>UPPER('Input Page'!$F$32)</f>
        <v/>
      </c>
      <c r="C1" s="1602"/>
      <c r="D1" s="1602"/>
      <c r="E1" s="1602"/>
      <c r="F1" s="1602"/>
      <c r="G1" s="1602"/>
      <c r="H1" s="1602"/>
      <c r="I1" s="1602"/>
    </row>
    <row r="2" spans="1:33" ht="20.25">
      <c r="A2" s="164"/>
      <c r="B2" s="1602" t="s">
        <v>351</v>
      </c>
      <c r="C2" s="1602"/>
      <c r="D2" s="1602"/>
      <c r="E2" s="1602"/>
      <c r="F2" s="1602"/>
      <c r="G2" s="1602"/>
      <c r="H2" s="1602"/>
      <c r="I2" s="160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0.25">
      <c r="A3" s="164"/>
      <c r="B3" s="1412"/>
      <c r="C3" s="1412"/>
      <c r="D3" s="1412"/>
      <c r="E3" s="1412"/>
      <c r="F3" s="1412"/>
      <c r="G3" s="1412"/>
      <c r="H3" s="1412"/>
      <c r="I3" s="14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0.25">
      <c r="A4" s="164"/>
      <c r="B4" s="1412"/>
      <c r="C4" s="1412"/>
      <c r="D4" s="1412"/>
      <c r="E4" s="1412"/>
      <c r="F4" s="1412"/>
      <c r="G4" s="1412"/>
      <c r="H4" s="1412"/>
      <c r="I4" s="14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6.350000000000001" customHeight="1" thickBot="1">
      <c r="A5" s="354"/>
      <c r="B5" s="1"/>
      <c r="C5" s="1726"/>
      <c r="D5" s="1726"/>
      <c r="E5" s="1"/>
      <c r="F5" s="1667"/>
      <c r="G5" s="1667"/>
      <c r="H5" s="154"/>
      <c r="I5" s="15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21" thickBot="1">
      <c r="A6" s="354"/>
      <c r="B6" s="1727" t="s">
        <v>257</v>
      </c>
      <c r="C6" s="1728"/>
      <c r="D6" s="660" t="s">
        <v>352</v>
      </c>
      <c r="E6" s="661" t="s">
        <v>254</v>
      </c>
      <c r="F6" s="156"/>
      <c r="G6" s="662" t="s">
        <v>353</v>
      </c>
      <c r="H6" s="660" t="s">
        <v>352</v>
      </c>
      <c r="I6" s="661" t="s">
        <v>254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6.350000000000001" customHeight="1">
      <c r="A7" s="354"/>
      <c r="B7" s="353" t="s">
        <v>257</v>
      </c>
      <c r="C7" s="995"/>
      <c r="D7" s="570">
        <f>'Input Page'!F57</f>
        <v>0</v>
      </c>
      <c r="E7" s="571" t="e">
        <f>D7/'Input Page'!E181</f>
        <v>#DIV/0!</v>
      </c>
      <c r="F7" s="1"/>
      <c r="G7" s="354" t="s">
        <v>354</v>
      </c>
      <c r="H7" s="570">
        <f>'Input Page'!F85</f>
        <v>0</v>
      </c>
      <c r="I7" s="573" t="e">
        <f>H7/'Input Page'!$E$181</f>
        <v>#DIV/0!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6.350000000000001" customHeight="1">
      <c r="A8" s="354"/>
      <c r="B8" s="354" t="s">
        <v>355</v>
      </c>
      <c r="C8" s="157"/>
      <c r="D8" s="572">
        <f>'Input Page'!F58</f>
        <v>0</v>
      </c>
      <c r="E8" s="573" t="e">
        <f>D8/'Input Page'!E181</f>
        <v>#DIV/0!</v>
      </c>
      <c r="F8" s="156"/>
      <c r="G8" s="354" t="s">
        <v>356</v>
      </c>
      <c r="H8" s="570">
        <f>'Input Page'!F86</f>
        <v>0</v>
      </c>
      <c r="I8" s="573" t="e">
        <f>H8/'Input Page'!$E$181</f>
        <v>#DIV/0!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6.350000000000001" customHeight="1">
      <c r="A9" s="354"/>
      <c r="B9" s="354" t="s">
        <v>18</v>
      </c>
      <c r="C9" s="157"/>
      <c r="D9" s="574">
        <f>'Input Page'!F59</f>
        <v>0</v>
      </c>
      <c r="E9" s="575" t="e">
        <f>D9/'Input Page'!$E$181</f>
        <v>#DIV/0!</v>
      </c>
      <c r="F9" s="156"/>
      <c r="G9" s="354" t="s">
        <v>357</v>
      </c>
      <c r="H9" s="570">
        <f>'Input Page'!F87</f>
        <v>0</v>
      </c>
      <c r="I9" s="573" t="e">
        <f>H9/'Input Page'!$E$181</f>
        <v>#DIV/0!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6.5" thickBot="1">
      <c r="A10" s="354"/>
      <c r="B10" s="158" t="s">
        <v>358</v>
      </c>
      <c r="C10" s="159"/>
      <c r="D10" s="576">
        <f>SUM(D7:D9)</f>
        <v>0</v>
      </c>
      <c r="E10" s="577" t="e">
        <f>D10/'Input Page'!E181</f>
        <v>#DIV/0!</v>
      </c>
      <c r="F10" s="156"/>
      <c r="G10" s="354" t="s">
        <v>18</v>
      </c>
      <c r="H10" s="579">
        <f>'Input Page'!F88</f>
        <v>0</v>
      </c>
      <c r="I10" s="575" t="e">
        <f>H10/'Input Page'!$E$181</f>
        <v>#DIV/0!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6.5" thickBot="1">
      <c r="A11" s="354"/>
      <c r="F11" s="156"/>
      <c r="G11" s="158" t="s">
        <v>359</v>
      </c>
      <c r="H11" s="576">
        <f>SUM(H7:H10)</f>
        <v>0</v>
      </c>
      <c r="I11" s="577" t="e">
        <f>H11/'Input Page'!$E$181</f>
        <v>#DIV/0!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21" thickBot="1">
      <c r="A12" s="354"/>
      <c r="B12" s="1413" t="s">
        <v>259</v>
      </c>
      <c r="C12" s="1414"/>
      <c r="D12" s="1414" t="s">
        <v>352</v>
      </c>
      <c r="E12" s="663" t="s">
        <v>254</v>
      </c>
      <c r="F12" s="156"/>
      <c r="G12" s="4"/>
      <c r="H12" s="154"/>
      <c r="I12" s="15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21" thickBot="1">
      <c r="A13" s="354"/>
      <c r="B13" s="354" t="s">
        <v>360</v>
      </c>
      <c r="C13" s="1"/>
      <c r="D13" s="570">
        <f>'Input Page'!F62</f>
        <v>0</v>
      </c>
      <c r="E13" s="573" t="e">
        <f>D13/'Input Page'!$E$181</f>
        <v>#DIV/0!</v>
      </c>
      <c r="F13" s="1"/>
      <c r="G13" s="662" t="s">
        <v>361</v>
      </c>
      <c r="H13" s="660" t="s">
        <v>352</v>
      </c>
      <c r="I13" s="661" t="s">
        <v>254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5.75">
      <c r="A14" s="354"/>
      <c r="B14" s="354" t="s">
        <v>362</v>
      </c>
      <c r="C14" s="1"/>
      <c r="D14" s="570">
        <f>'Input Page'!F63</f>
        <v>0</v>
      </c>
      <c r="E14" s="573" t="e">
        <f>D14/'Input Page'!$E$181</f>
        <v>#DIV/0!</v>
      </c>
      <c r="F14" s="995"/>
      <c r="G14" s="354" t="s">
        <v>363</v>
      </c>
      <c r="H14" s="570">
        <f>'Input Page'!F91</f>
        <v>0</v>
      </c>
      <c r="I14" s="573" t="e">
        <f>H14/'Input Page'!$E$181</f>
        <v>#DIV/0!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5.75">
      <c r="A15" s="354"/>
      <c r="B15" s="354" t="s">
        <v>364</v>
      </c>
      <c r="C15" s="1"/>
      <c r="D15" s="570">
        <f>'Input Page'!F64</f>
        <v>0</v>
      </c>
      <c r="E15" s="573" t="e">
        <f>D15/'Input Page'!$E$181</f>
        <v>#DIV/0!</v>
      </c>
      <c r="F15" s="995"/>
      <c r="G15" s="354" t="s">
        <v>365</v>
      </c>
      <c r="H15" s="570">
        <f>'Input Page'!F92</f>
        <v>0</v>
      </c>
      <c r="I15" s="573" t="e">
        <f>H15/'Input Page'!$E$181</f>
        <v>#DIV/0!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5.75">
      <c r="A16" s="354"/>
      <c r="B16" s="354" t="s">
        <v>366</v>
      </c>
      <c r="C16" s="1"/>
      <c r="D16" s="570">
        <f>'Input Page'!F65</f>
        <v>0</v>
      </c>
      <c r="E16" s="573" t="e">
        <f>D16/'Input Page'!$E$181</f>
        <v>#DIV/0!</v>
      </c>
      <c r="F16" s="995"/>
      <c r="G16" s="354" t="s">
        <v>367</v>
      </c>
      <c r="H16" s="579">
        <f>'Input Page'!F93</f>
        <v>0</v>
      </c>
      <c r="I16" s="575" t="e">
        <f>H16/'Input Page'!$E$181</f>
        <v>#DIV/0!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6.5" thickBot="1">
      <c r="A17" s="354"/>
      <c r="B17" s="354" t="s">
        <v>368</v>
      </c>
      <c r="C17" s="1"/>
      <c r="D17" s="570">
        <f>'Input Page'!F66</f>
        <v>0</v>
      </c>
      <c r="E17" s="573" t="e">
        <f>D17/'Input Page'!$E$181</f>
        <v>#DIV/0!</v>
      </c>
      <c r="F17" s="995"/>
      <c r="G17" s="158" t="s">
        <v>369</v>
      </c>
      <c r="H17" s="576">
        <f>SUM(H14:H16)</f>
        <v>0</v>
      </c>
      <c r="I17" s="577" t="e">
        <f>H17/'Input Page'!$E$181</f>
        <v>#DIV/0!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6.5" thickBot="1">
      <c r="A18" s="354"/>
      <c r="B18" s="354" t="s">
        <v>370</v>
      </c>
      <c r="C18" s="1"/>
      <c r="D18" s="570">
        <f>'Input Page'!F67</f>
        <v>0</v>
      </c>
      <c r="E18" s="573" t="e">
        <f>D18/'Input Page'!$E$181</f>
        <v>#DIV/0!</v>
      </c>
      <c r="F18" s="995"/>
      <c r="G18" s="1"/>
      <c r="H18" s="162"/>
      <c r="I18" s="15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21" thickBot="1">
      <c r="A19" s="354"/>
      <c r="B19" s="354" t="s">
        <v>18</v>
      </c>
      <c r="C19" s="1"/>
      <c r="D19" s="579">
        <f>'Input Page'!F68</f>
        <v>0</v>
      </c>
      <c r="E19" s="575" t="e">
        <f>D19/'Input Page'!$E$181</f>
        <v>#DIV/0!</v>
      </c>
      <c r="F19" s="995"/>
      <c r="G19" s="662" t="s">
        <v>371</v>
      </c>
      <c r="H19" s="660" t="s">
        <v>352</v>
      </c>
      <c r="I19" s="661" t="s">
        <v>254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6.5" thickBot="1">
      <c r="A20" s="354"/>
      <c r="B20" s="158" t="s">
        <v>372</v>
      </c>
      <c r="C20" s="159"/>
      <c r="D20" s="576">
        <f>SUM(D13:D19)</f>
        <v>0</v>
      </c>
      <c r="E20" s="577" t="e">
        <f>D20/'Input Page'!$E$181</f>
        <v>#DIV/0!</v>
      </c>
      <c r="F20" s="995"/>
      <c r="G20" s="160" t="s">
        <v>373</v>
      </c>
      <c r="H20" s="578">
        <f>'Input Page'!$F$96</f>
        <v>0</v>
      </c>
      <c r="I20" s="580" t="e">
        <f>H20/'Input Page'!$E$181</f>
        <v>#DIV/0!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6.5" thickBot="1">
      <c r="A21" s="354"/>
      <c r="B21" s="1"/>
      <c r="C21" s="355"/>
      <c r="D21" s="355"/>
      <c r="E21" s="156"/>
      <c r="F21" s="995"/>
      <c r="G21" s="354" t="s">
        <v>374</v>
      </c>
      <c r="H21" s="570">
        <f>'Input Page'!F97</f>
        <v>0</v>
      </c>
      <c r="I21" s="573" t="e">
        <f>H21/'Input Page'!$E$181</f>
        <v>#DIV/0!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21" thickBot="1">
      <c r="A22" s="354"/>
      <c r="B22" s="1413" t="s">
        <v>375</v>
      </c>
      <c r="C22" s="1414"/>
      <c r="D22" s="1414" t="s">
        <v>352</v>
      </c>
      <c r="E22" s="663" t="s">
        <v>254</v>
      </c>
      <c r="F22" s="1"/>
      <c r="G22" s="354" t="s">
        <v>18</v>
      </c>
      <c r="H22" s="579">
        <f>'Input Page'!F98</f>
        <v>0</v>
      </c>
      <c r="I22" s="575" t="e">
        <f>H22/'Input Page'!$E$181</f>
        <v>#DIV/0!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6.5" thickBot="1">
      <c r="A23" s="354"/>
      <c r="B23" s="354" t="s">
        <v>376</v>
      </c>
      <c r="C23" s="1"/>
      <c r="D23" s="570">
        <f>'Input Page'!F71</f>
        <v>0</v>
      </c>
      <c r="E23" s="573" t="e">
        <f>D23/'Input Page'!$E$181</f>
        <v>#DIV/0!</v>
      </c>
      <c r="F23" s="995"/>
      <c r="G23" s="158" t="s">
        <v>377</v>
      </c>
      <c r="H23" s="576">
        <f>SUM(H20:H22)</f>
        <v>0</v>
      </c>
      <c r="I23" s="577" t="e">
        <f>H23/'Input Page'!$E$181</f>
        <v>#DIV/0!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5.75">
      <c r="A24" s="354"/>
      <c r="B24" s="354" t="s">
        <v>378</v>
      </c>
      <c r="C24" s="1"/>
      <c r="D24" s="570">
        <f>'Input Page'!F72</f>
        <v>0</v>
      </c>
      <c r="E24" s="573" t="e">
        <f>D24/'Input Page'!$E$181</f>
        <v>#DIV/0!</v>
      </c>
      <c r="F24" s="99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6.5" thickBot="1">
      <c r="A25" s="354"/>
      <c r="B25" s="354" t="s">
        <v>379</v>
      </c>
      <c r="C25" s="1"/>
      <c r="D25" s="570">
        <f>'Input Page'!F73</f>
        <v>0</v>
      </c>
      <c r="E25" s="573" t="e">
        <f>D25/'Input Page'!$E$181</f>
        <v>#DIV/0!</v>
      </c>
      <c r="F25" s="99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21" thickBot="1">
      <c r="A26" s="354"/>
      <c r="B26" s="354" t="s">
        <v>18</v>
      </c>
      <c r="C26" s="1"/>
      <c r="D26" s="579">
        <f>'Input Page'!F74</f>
        <v>0</v>
      </c>
      <c r="E26" s="575" t="e">
        <f>D26/'Input Page'!$E$181</f>
        <v>#DIV/0!</v>
      </c>
      <c r="F26" s="995"/>
      <c r="G26" s="1043" t="s">
        <v>380</v>
      </c>
      <c r="H26" s="1044" t="e">
        <f>D10+D20+D36+H11+H17+H23+D27</f>
        <v>#DIV/0!</v>
      </c>
      <c r="I26" s="1045" t="e">
        <f>H26/'Input Page'!$E$181</f>
        <v>#DIV/0!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6.5" thickBot="1">
      <c r="A27" s="354"/>
      <c r="B27" s="158" t="s">
        <v>381</v>
      </c>
      <c r="C27" s="159"/>
      <c r="D27" s="576">
        <f>SUM(D23:D26)</f>
        <v>0</v>
      </c>
      <c r="E27" s="577" t="e">
        <f>D27/'Input Page'!$E$181</f>
        <v>#DIV/0!</v>
      </c>
      <c r="F27" s="99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6.5" thickBot="1">
      <c r="A28" s="354"/>
      <c r="B28" s="1"/>
      <c r="C28" s="355"/>
      <c r="D28" s="355"/>
      <c r="E28" s="156"/>
      <c r="F28" s="99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21" thickBot="1">
      <c r="A29" s="354"/>
      <c r="B29" s="1413" t="s">
        <v>263</v>
      </c>
      <c r="C29" s="1414"/>
      <c r="D29" s="1414" t="s">
        <v>352</v>
      </c>
      <c r="E29" s="663" t="s">
        <v>254</v>
      </c>
      <c r="F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5.75">
      <c r="A30" s="354"/>
      <c r="B30" s="354" t="s">
        <v>382</v>
      </c>
      <c r="C30" s="157"/>
      <c r="D30" s="570" t="e">
        <f>'Input Page'!F77</f>
        <v>#DIV/0!</v>
      </c>
      <c r="E30" s="573" t="e">
        <f>D30/'Input Page'!$E$181</f>
        <v>#DIV/0!</v>
      </c>
      <c r="F30" s="99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5.75">
      <c r="A31" s="354"/>
      <c r="B31" s="354" t="s">
        <v>383</v>
      </c>
      <c r="C31" s="1"/>
      <c r="D31" s="570">
        <f>'Input Page'!F78</f>
        <v>0</v>
      </c>
      <c r="E31" s="573" t="e">
        <f>D31/'Input Page'!$E$181</f>
        <v>#DIV/0!</v>
      </c>
      <c r="F31" s="354"/>
      <c r="G31" s="1"/>
      <c r="H31" s="1"/>
      <c r="I31" s="15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5.75">
      <c r="A32" s="354"/>
      <c r="B32" s="354" t="s">
        <v>384</v>
      </c>
      <c r="C32" s="1"/>
      <c r="D32" s="570">
        <f>'Input Page'!F79</f>
        <v>0</v>
      </c>
      <c r="E32" s="573" t="e">
        <f>D32/'Input Page'!$E$181</f>
        <v>#DIV/0!</v>
      </c>
      <c r="F32" s="354"/>
      <c r="G32" s="1"/>
      <c r="H32" s="162"/>
      <c r="I32" s="15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75">
      <c r="A33" s="354"/>
      <c r="B33" s="354" t="s">
        <v>385</v>
      </c>
      <c r="C33" s="1"/>
      <c r="D33" s="570">
        <f>'Input Page'!F80</f>
        <v>0</v>
      </c>
      <c r="E33" s="573" t="e">
        <f>D33/'Input Page'!$E$181</f>
        <v>#DIV/0!</v>
      </c>
      <c r="F33" s="354"/>
      <c r="G33" s="1"/>
      <c r="H33" s="1"/>
      <c r="I33" s="15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.75">
      <c r="A34" s="354"/>
      <c r="B34" s="354" t="s">
        <v>386</v>
      </c>
      <c r="C34" s="1"/>
      <c r="D34" s="570">
        <f>'Input Page'!F81</f>
        <v>0</v>
      </c>
      <c r="E34" s="573" t="e">
        <f>D34/'Input Page'!$E$181</f>
        <v>#DIV/0!</v>
      </c>
      <c r="F34" s="354"/>
      <c r="G34" s="1"/>
      <c r="H34" s="1"/>
      <c r="I34" s="15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75">
      <c r="A35" s="354"/>
      <c r="B35" s="354" t="s">
        <v>18</v>
      </c>
      <c r="C35" s="1"/>
      <c r="D35" s="579">
        <f>'Input Page'!F82</f>
        <v>0</v>
      </c>
      <c r="E35" s="575" t="e">
        <f>D35/'Input Page'!$E$181</f>
        <v>#DIV/0!</v>
      </c>
      <c r="F35" s="354"/>
      <c r="G35" s="1"/>
      <c r="H35" s="1"/>
      <c r="I35" s="15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6.5" thickBot="1">
      <c r="A36" s="354"/>
      <c r="B36" s="158" t="s">
        <v>387</v>
      </c>
      <c r="C36" s="159"/>
      <c r="D36" s="576" t="e">
        <f>SUM(D30:D35)</f>
        <v>#DIV/0!</v>
      </c>
      <c r="E36" s="577" t="e">
        <f>D36/'Input Page'!$E$181</f>
        <v>#DIV/0!</v>
      </c>
      <c r="F36" s="354"/>
      <c r="G36" s="1"/>
      <c r="H36" s="1"/>
      <c r="I36" s="15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75">
      <c r="A37" s="354"/>
      <c r="F37" s="1"/>
      <c r="G37" s="1"/>
      <c r="H37" s="1"/>
      <c r="I37" s="15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.75">
      <c r="A38" s="163"/>
      <c r="B38" s="163"/>
      <c r="C38" s="163"/>
      <c r="D38" s="163"/>
      <c r="E38" s="163"/>
      <c r="F38" s="1"/>
      <c r="G38" s="1"/>
      <c r="H38" s="1"/>
      <c r="I38" s="15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.75">
      <c r="F39" s="1725"/>
      <c r="G39" s="1725"/>
      <c r="H39" s="1"/>
      <c r="I39" s="15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75">
      <c r="F40" s="1722"/>
      <c r="G40" s="1722"/>
      <c r="H40" s="1"/>
      <c r="I40" s="15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75">
      <c r="F41" s="1722"/>
      <c r="G41" s="1722"/>
      <c r="H41" s="1"/>
      <c r="I41" s="15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.75">
      <c r="F42" s="1722"/>
      <c r="G42" s="1722"/>
      <c r="H42" s="1"/>
      <c r="I42" s="15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.75">
      <c r="F43" s="1722"/>
      <c r="G43" s="1722"/>
      <c r="H43" s="1"/>
      <c r="I43" s="15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.75">
      <c r="F44" s="1722"/>
      <c r="G44" s="1722"/>
      <c r="H44" s="1"/>
      <c r="I44" s="15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.75">
      <c r="A45" s="1"/>
      <c r="B45" s="1"/>
      <c r="C45" s="1"/>
      <c r="D45" s="1"/>
      <c r="E45" s="156"/>
      <c r="F45" s="1722"/>
      <c r="G45" s="1722"/>
      <c r="H45" s="1"/>
      <c r="I45" s="15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.75">
      <c r="A46" s="1"/>
      <c r="B46" s="1"/>
      <c r="C46" s="1"/>
      <c r="D46" s="1"/>
      <c r="E46" s="156"/>
      <c r="F46" s="1722"/>
      <c r="G46" s="1722"/>
      <c r="H46" s="1"/>
      <c r="I46" s="15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75">
      <c r="A47" s="1"/>
      <c r="B47" s="1"/>
      <c r="C47" s="1"/>
      <c r="D47" s="1"/>
      <c r="E47" s="156"/>
      <c r="F47" s="1722"/>
      <c r="G47" s="1722"/>
      <c r="H47" s="1"/>
      <c r="I47" s="15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5.75">
      <c r="A48" s="1"/>
      <c r="B48" s="1"/>
      <c r="C48" s="1"/>
      <c r="D48" s="1"/>
      <c r="E48" s="156"/>
      <c r="F48" s="1722"/>
      <c r="G48" s="1722"/>
      <c r="H48" s="4"/>
      <c r="I48" s="15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75">
      <c r="A49" s="1"/>
      <c r="B49" s="1"/>
      <c r="C49" s="1"/>
      <c r="D49" s="1"/>
      <c r="E49" s="156"/>
      <c r="F49" s="1722"/>
      <c r="G49" s="1722"/>
      <c r="H49" s="1"/>
      <c r="I49" s="15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75">
      <c r="A50" s="1"/>
      <c r="B50" s="1"/>
      <c r="C50" s="1722"/>
      <c r="D50" s="1722"/>
      <c r="E50" s="156"/>
      <c r="F50" s="1722"/>
      <c r="G50" s="1722"/>
      <c r="H50" s="1"/>
      <c r="I50" s="15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8">
      <c r="A51" s="1"/>
      <c r="B51" s="1"/>
      <c r="C51" s="1723"/>
      <c r="D51" s="1723"/>
      <c r="E51" s="156"/>
      <c r="F51" s="1722"/>
      <c r="G51" s="1722"/>
      <c r="H51" s="1"/>
      <c r="I51" s="15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5.75">
      <c r="A52" s="1"/>
      <c r="B52" s="1"/>
      <c r="C52" s="1722"/>
      <c r="D52" s="1722"/>
      <c r="E52" s="156"/>
      <c r="F52" s="1722"/>
      <c r="G52" s="1722"/>
      <c r="H52" s="1"/>
      <c r="I52" s="15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5.75">
      <c r="A53" s="1"/>
      <c r="B53" s="1"/>
      <c r="C53" s="1722"/>
      <c r="D53" s="1722"/>
      <c r="E53" s="156"/>
      <c r="F53" s="1722"/>
      <c r="G53" s="1722"/>
      <c r="H53" s="1"/>
      <c r="I53" s="15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5.75">
      <c r="A54" s="1"/>
      <c r="B54" s="1"/>
      <c r="C54" s="1724"/>
      <c r="D54" s="1724"/>
      <c r="E54" s="156"/>
      <c r="F54" s="1722"/>
      <c r="G54" s="1722"/>
      <c r="H54" s="1"/>
      <c r="I54" s="1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5.75">
      <c r="A55" s="1"/>
      <c r="B55" s="1"/>
      <c r="C55" s="1724"/>
      <c r="D55" s="1724"/>
      <c r="E55" s="156"/>
      <c r="F55" s="1722"/>
      <c r="G55" s="1722"/>
      <c r="H55" s="1"/>
      <c r="I55" s="15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5.75">
      <c r="A56" s="1"/>
      <c r="B56" s="1"/>
      <c r="C56" s="1722"/>
      <c r="D56" s="1722"/>
      <c r="E56" s="156"/>
      <c r="F56" s="1722"/>
      <c r="G56" s="1722"/>
      <c r="H56" s="1"/>
      <c r="I56" s="15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5.75">
      <c r="A57" s="1"/>
      <c r="B57" s="1"/>
      <c r="C57" s="1722"/>
      <c r="D57" s="1722"/>
      <c r="E57" s="156"/>
      <c r="F57" s="1722"/>
      <c r="G57" s="1722"/>
      <c r="H57" s="1"/>
      <c r="I57" s="15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5.75">
      <c r="A58" s="1"/>
      <c r="B58" s="1"/>
      <c r="C58" s="1722"/>
      <c r="D58" s="1722"/>
      <c r="E58" s="156"/>
      <c r="F58" s="1722"/>
      <c r="G58" s="1722"/>
      <c r="H58" s="1"/>
      <c r="I58" s="15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.75">
      <c r="A59" s="1"/>
      <c r="B59" s="1"/>
      <c r="C59" s="1722"/>
      <c r="D59" s="1722"/>
      <c r="E59" s="156"/>
      <c r="F59" s="1722"/>
      <c r="G59" s="1722"/>
      <c r="H59" s="1"/>
      <c r="I59" s="15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8">
      <c r="A60" s="1"/>
      <c r="B60" s="1"/>
      <c r="C60" s="1723"/>
      <c r="D60" s="1723"/>
      <c r="E60" s="156"/>
      <c r="F60" s="1722"/>
      <c r="G60" s="1722"/>
      <c r="H60" s="1"/>
      <c r="I60" s="15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.75">
      <c r="A61" s="1"/>
      <c r="B61" s="1"/>
      <c r="C61" s="1722"/>
      <c r="D61" s="1722"/>
      <c r="E61" s="156"/>
      <c r="F61" s="1722"/>
      <c r="G61" s="1722"/>
      <c r="H61" s="1"/>
      <c r="I61" s="15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5.75">
      <c r="A62" s="1"/>
      <c r="B62" s="1"/>
      <c r="C62" s="1722"/>
      <c r="D62" s="1722"/>
      <c r="E62" s="156"/>
      <c r="F62" s="1722"/>
      <c r="G62" s="1722"/>
      <c r="H62" s="1"/>
      <c r="I62" s="15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5.75">
      <c r="A63" s="1"/>
      <c r="B63" s="1"/>
      <c r="C63" s="1722"/>
      <c r="D63" s="1722"/>
      <c r="E63" s="156"/>
      <c r="F63" s="1722"/>
      <c r="G63" s="1722"/>
      <c r="H63" s="1"/>
      <c r="I63" s="15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5.75">
      <c r="A64" s="1"/>
      <c r="B64" s="1"/>
      <c r="C64" s="1722"/>
      <c r="D64" s="1722"/>
      <c r="E64" s="156"/>
      <c r="F64" s="1722"/>
      <c r="G64" s="1722"/>
      <c r="H64" s="1"/>
      <c r="I64" s="15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5.75">
      <c r="A65" s="1"/>
      <c r="B65" s="1"/>
      <c r="C65" s="1722"/>
      <c r="D65" s="1722"/>
      <c r="E65" s="156"/>
      <c r="F65" s="1722"/>
      <c r="G65" s="1722"/>
      <c r="H65" s="1"/>
      <c r="I65" s="15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5.75">
      <c r="A66" s="1"/>
      <c r="B66" s="1"/>
      <c r="C66" s="1722"/>
      <c r="D66" s="1722"/>
      <c r="E66" s="156"/>
      <c r="F66" s="1722"/>
      <c r="G66" s="1722"/>
      <c r="H66" s="1"/>
      <c r="I66" s="15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5.75">
      <c r="A67" s="1"/>
      <c r="B67" s="1"/>
      <c r="C67" s="1722"/>
      <c r="D67" s="1722"/>
      <c r="E67" s="156"/>
      <c r="F67" s="1722"/>
      <c r="G67" s="1722"/>
      <c r="H67" s="1"/>
      <c r="I67" s="15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5.75">
      <c r="A68" s="1"/>
      <c r="B68" s="1"/>
      <c r="C68" s="1722"/>
      <c r="D68" s="1722"/>
      <c r="E68" s="156"/>
      <c r="F68" s="1722"/>
      <c r="G68" s="1722"/>
      <c r="H68" s="1"/>
      <c r="I68" s="15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5.75">
      <c r="A69" s="1"/>
      <c r="B69" s="1"/>
      <c r="C69" s="1722"/>
      <c r="D69" s="1722"/>
      <c r="E69" s="156"/>
      <c r="F69" s="1722"/>
      <c r="G69" s="1722"/>
      <c r="H69" s="1"/>
      <c r="I69" s="15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5.75">
      <c r="A70" s="1"/>
      <c r="B70" s="1"/>
      <c r="C70" s="1722"/>
      <c r="D70" s="1722"/>
      <c r="E70" s="156"/>
      <c r="F70" s="1722"/>
      <c r="G70" s="1722"/>
      <c r="H70" s="1"/>
      <c r="I70" s="15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5.75">
      <c r="A71" s="1"/>
      <c r="B71" s="1"/>
      <c r="C71" s="1722"/>
      <c r="D71" s="1722"/>
      <c r="E71" s="156"/>
      <c r="F71" s="1722"/>
      <c r="G71" s="1722"/>
      <c r="H71" s="1"/>
      <c r="I71" s="15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5.75">
      <c r="A72" s="1"/>
      <c r="B72" s="1"/>
      <c r="C72" s="1722"/>
      <c r="D72" s="1722"/>
      <c r="E72" s="156"/>
      <c r="F72" s="1722"/>
      <c r="G72" s="1722"/>
      <c r="H72" s="1"/>
      <c r="I72" s="15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5.75">
      <c r="A73" s="1"/>
      <c r="B73" s="1"/>
      <c r="C73" s="1722"/>
      <c r="D73" s="1722"/>
      <c r="E73" s="156"/>
      <c r="F73" s="1722"/>
      <c r="G73" s="1722"/>
      <c r="H73" s="1"/>
      <c r="I73" s="15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>
      <c r="A74" s="1"/>
      <c r="B74" s="1"/>
      <c r="C74" s="1722"/>
      <c r="D74" s="1722"/>
      <c r="E74" s="156"/>
      <c r="F74" s="1722"/>
      <c r="G74" s="1722"/>
      <c r="H74" s="1"/>
      <c r="I74" s="15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5.75">
      <c r="A75" s="1"/>
      <c r="B75" s="1"/>
      <c r="C75" s="1722"/>
      <c r="D75" s="1722"/>
      <c r="E75" s="156"/>
      <c r="F75" s="1722"/>
      <c r="G75" s="1722"/>
      <c r="H75" s="1"/>
      <c r="I75" s="15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.75">
      <c r="A76" s="1"/>
      <c r="B76" s="1"/>
      <c r="C76" s="1722"/>
      <c r="D76" s="1722"/>
      <c r="E76" s="156"/>
      <c r="F76" s="1722"/>
      <c r="G76" s="1722"/>
      <c r="H76" s="1"/>
      <c r="I76" s="15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.75">
      <c r="A77" s="1"/>
      <c r="B77" s="1"/>
      <c r="C77" s="1722"/>
      <c r="D77" s="1722"/>
      <c r="E77" s="156"/>
      <c r="F77" s="1722"/>
      <c r="G77" s="1722"/>
      <c r="H77" s="1"/>
      <c r="I77" s="15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5.75">
      <c r="A78" s="1"/>
      <c r="B78" s="1"/>
      <c r="C78" s="1722"/>
      <c r="D78" s="1722"/>
      <c r="E78" s="156"/>
      <c r="F78" s="1722"/>
      <c r="G78" s="1722"/>
      <c r="H78" s="1"/>
      <c r="I78" s="15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.75">
      <c r="A79" s="1"/>
      <c r="B79" s="1"/>
      <c r="C79" s="1722"/>
      <c r="D79" s="1722"/>
      <c r="E79" s="156"/>
      <c r="F79" s="1722"/>
      <c r="G79" s="1722"/>
      <c r="H79" s="1"/>
      <c r="I79" s="15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.75">
      <c r="A80" s="1"/>
      <c r="B80" s="1"/>
      <c r="C80" s="1722"/>
      <c r="D80" s="1722"/>
      <c r="E80" s="156"/>
      <c r="F80" s="1722"/>
      <c r="G80" s="1722"/>
      <c r="H80" s="1"/>
      <c r="I80" s="15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5.75">
      <c r="A81" s="1"/>
      <c r="B81" s="1"/>
      <c r="C81" s="1722"/>
      <c r="D81" s="1722"/>
      <c r="E81" s="156"/>
      <c r="F81" s="1722"/>
      <c r="G81" s="1722"/>
      <c r="H81" s="1"/>
      <c r="I81" s="15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.75">
      <c r="A82" s="1722"/>
      <c r="B82" s="1722"/>
      <c r="C82" s="1722"/>
      <c r="D82" s="1722"/>
      <c r="E82" s="156"/>
      <c r="F82" s="1722"/>
      <c r="G82" s="1722"/>
      <c r="H82" s="1"/>
      <c r="I82" s="15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.75">
      <c r="A83" s="1722"/>
      <c r="B83" s="1722"/>
      <c r="C83" s="1722"/>
      <c r="D83" s="1722"/>
      <c r="E83" s="156"/>
      <c r="F83" s="1722"/>
      <c r="G83" s="1722"/>
      <c r="H83" s="1"/>
      <c r="I83" s="15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</sheetData>
  <mergeCells count="86">
    <mergeCell ref="F41:G41"/>
    <mergeCell ref="F42:G42"/>
    <mergeCell ref="F39:G39"/>
    <mergeCell ref="F40:G40"/>
    <mergeCell ref="B1:I1"/>
    <mergeCell ref="B2:I2"/>
    <mergeCell ref="C5:D5"/>
    <mergeCell ref="F5:G5"/>
    <mergeCell ref="B6:C6"/>
    <mergeCell ref="F47:G47"/>
    <mergeCell ref="F48:G48"/>
    <mergeCell ref="F45:G45"/>
    <mergeCell ref="F46:G46"/>
    <mergeCell ref="F43:G43"/>
    <mergeCell ref="F44:G44"/>
    <mergeCell ref="C51:D51"/>
    <mergeCell ref="F51:G51"/>
    <mergeCell ref="C52:D52"/>
    <mergeCell ref="F52:G52"/>
    <mergeCell ref="F49:G49"/>
    <mergeCell ref="C50:D50"/>
    <mergeCell ref="F50:G50"/>
    <mergeCell ref="C55:D55"/>
    <mergeCell ref="F55:G55"/>
    <mergeCell ref="C56:D56"/>
    <mergeCell ref="F56:G56"/>
    <mergeCell ref="C53:D53"/>
    <mergeCell ref="F53:G53"/>
    <mergeCell ref="C54:D54"/>
    <mergeCell ref="F54:G54"/>
    <mergeCell ref="C59:D59"/>
    <mergeCell ref="F59:G59"/>
    <mergeCell ref="C60:D60"/>
    <mergeCell ref="F60:G60"/>
    <mergeCell ref="C57:D57"/>
    <mergeCell ref="F57:G57"/>
    <mergeCell ref="C58:D58"/>
    <mergeCell ref="F58:G58"/>
    <mergeCell ref="C63:D63"/>
    <mergeCell ref="F63:G63"/>
    <mergeCell ref="C64:D64"/>
    <mergeCell ref="F64:G64"/>
    <mergeCell ref="C61:D61"/>
    <mergeCell ref="F61:G61"/>
    <mergeCell ref="C62:D62"/>
    <mergeCell ref="F62:G62"/>
    <mergeCell ref="C67:D67"/>
    <mergeCell ref="F67:G67"/>
    <mergeCell ref="C68:D68"/>
    <mergeCell ref="F68:G68"/>
    <mergeCell ref="C65:D65"/>
    <mergeCell ref="F65:G65"/>
    <mergeCell ref="C66:D66"/>
    <mergeCell ref="F66:G66"/>
    <mergeCell ref="C71:D71"/>
    <mergeCell ref="F71:G71"/>
    <mergeCell ref="C72:D72"/>
    <mergeCell ref="F72:G72"/>
    <mergeCell ref="C69:D69"/>
    <mergeCell ref="F69:G69"/>
    <mergeCell ref="C70:D70"/>
    <mergeCell ref="F70:G70"/>
    <mergeCell ref="C75:D75"/>
    <mergeCell ref="F75:G75"/>
    <mergeCell ref="C76:D76"/>
    <mergeCell ref="F76:G76"/>
    <mergeCell ref="C73:D73"/>
    <mergeCell ref="F73:G73"/>
    <mergeCell ref="C74:D74"/>
    <mergeCell ref="F74:G74"/>
    <mergeCell ref="C79:D79"/>
    <mergeCell ref="F79:G79"/>
    <mergeCell ref="C80:D80"/>
    <mergeCell ref="F80:G80"/>
    <mergeCell ref="C77:D77"/>
    <mergeCell ref="F77:G77"/>
    <mergeCell ref="C78:D78"/>
    <mergeCell ref="F78:G78"/>
    <mergeCell ref="A83:B83"/>
    <mergeCell ref="C83:D83"/>
    <mergeCell ref="F83:G83"/>
    <mergeCell ref="C81:D81"/>
    <mergeCell ref="F81:G81"/>
    <mergeCell ref="A82:B82"/>
    <mergeCell ref="C82:D82"/>
    <mergeCell ref="F82:G82"/>
  </mergeCells>
  <pageMargins left="0.5" right="0.5" top="0.5" bottom="0.5" header="0.3" footer="0.3"/>
  <pageSetup scale="59" orientation="portrait" horizontalDpi="0" verticalDpi="0" r:id="rId1"/>
  <headerFooter>
    <oddFooter>&amp;LPRIVELEGED AND CONFIDENTIAL&amp;R&amp;G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3FA60-6648-463E-A93C-6B28F8235060}">
  <sheetPr>
    <tabColor rgb="FFFF0000"/>
    <pageSetUpPr fitToPage="1"/>
  </sheetPr>
  <dimension ref="A1:Q4845"/>
  <sheetViews>
    <sheetView zoomScale="90" zoomScaleNormal="90" workbookViewId="0">
      <selection activeCell="G44" sqref="G44"/>
    </sheetView>
  </sheetViews>
  <sheetFormatPr defaultColWidth="0" defaultRowHeight="15" zeroHeight="1"/>
  <cols>
    <col min="1" max="1" width="1.85546875" customWidth="1"/>
    <col min="2" max="2" width="8.85546875" customWidth="1"/>
    <col min="3" max="3" width="18.85546875" customWidth="1"/>
    <col min="4" max="4" width="10.42578125" bestFit="1" customWidth="1"/>
    <col min="5" max="5" width="10.85546875" customWidth="1"/>
    <col min="6" max="6" width="10.42578125" style="238" bestFit="1" customWidth="1"/>
    <col min="7" max="7" width="13" style="238" customWidth="1"/>
    <col min="8" max="8" width="11.140625" style="238" bestFit="1" customWidth="1"/>
    <col min="9" max="9" width="14.85546875" style="238" customWidth="1"/>
    <col min="10" max="10" width="14.140625" style="238" bestFit="1" customWidth="1"/>
    <col min="11" max="11" width="15.140625" style="238" bestFit="1" customWidth="1"/>
    <col min="12" max="12" width="1.85546875" style="238" customWidth="1"/>
    <col min="13" max="17" width="0" style="238" hidden="1" customWidth="1"/>
    <col min="18" max="16384" width="8.85546875" hidden="1"/>
  </cols>
  <sheetData>
    <row r="1" spans="1:17" ht="5.0999999999999996" customHeight="1">
      <c r="F1"/>
      <c r="G1"/>
      <c r="H1"/>
      <c r="I1"/>
      <c r="J1"/>
      <c r="K1"/>
      <c r="L1"/>
      <c r="M1"/>
      <c r="N1"/>
      <c r="O1"/>
      <c r="P1"/>
      <c r="Q1"/>
    </row>
    <row r="2" spans="1:17" ht="15.75">
      <c r="B2" s="237" t="s">
        <v>519</v>
      </c>
      <c r="F2"/>
      <c r="G2"/>
      <c r="H2"/>
      <c r="L2"/>
      <c r="M2"/>
      <c r="N2"/>
      <c r="O2"/>
      <c r="P2"/>
      <c r="Q2"/>
    </row>
    <row r="3" spans="1:17" ht="5.0999999999999996" customHeight="1">
      <c r="F3"/>
      <c r="G3"/>
      <c r="H3"/>
      <c r="L3"/>
      <c r="M3"/>
      <c r="N3"/>
      <c r="O3"/>
      <c r="P3"/>
      <c r="Q3"/>
    </row>
    <row r="4" spans="1:17">
      <c r="B4" s="71" t="s">
        <v>520</v>
      </c>
      <c r="F4"/>
      <c r="G4"/>
      <c r="H4"/>
      <c r="I4" s="239" t="s">
        <v>521</v>
      </c>
      <c r="J4" s="240"/>
      <c r="K4" s="241" t="e">
        <f>IF(ROUND(K5,0)=ROUND(K6,0),"OK","ERROR")</f>
        <v>#DIV/0!</v>
      </c>
      <c r="L4"/>
      <c r="M4"/>
      <c r="N4"/>
      <c r="O4"/>
      <c r="P4"/>
      <c r="Q4"/>
    </row>
    <row r="5" spans="1:17">
      <c r="B5" s="71" t="s">
        <v>522</v>
      </c>
      <c r="F5"/>
      <c r="G5"/>
      <c r="H5"/>
      <c r="I5" s="172" t="s">
        <v>523</v>
      </c>
      <c r="J5"/>
      <c r="K5" s="242" t="e">
        <f>SUM(F28:K28)</f>
        <v>#DIV/0!</v>
      </c>
      <c r="L5"/>
      <c r="M5"/>
      <c r="N5"/>
      <c r="O5"/>
      <c r="P5"/>
      <c r="Q5"/>
    </row>
    <row r="6" spans="1:17">
      <c r="B6" s="71"/>
      <c r="F6"/>
      <c r="G6"/>
      <c r="H6"/>
      <c r="I6" s="243" t="s">
        <v>524</v>
      </c>
      <c r="J6" s="244"/>
      <c r="K6" s="245" t="e">
        <f>SUM(F16:K16,F23:K23)</f>
        <v>#DIV/0!</v>
      </c>
      <c r="L6"/>
      <c r="M6"/>
      <c r="N6"/>
      <c r="O6"/>
      <c r="P6"/>
      <c r="Q6"/>
    </row>
    <row r="7" spans="1:17">
      <c r="B7" s="71"/>
      <c r="F7"/>
      <c r="G7"/>
      <c r="H7"/>
      <c r="I7"/>
      <c r="J7"/>
      <c r="K7"/>
      <c r="L7"/>
      <c r="M7"/>
      <c r="N7"/>
      <c r="O7"/>
      <c r="P7"/>
      <c r="Q7"/>
    </row>
    <row r="8" spans="1:17">
      <c r="B8" s="246" t="s">
        <v>525</v>
      </c>
      <c r="C8" s="244"/>
      <c r="D8" s="244"/>
      <c r="E8" s="244"/>
      <c r="F8" s="244"/>
      <c r="G8" s="244"/>
      <c r="H8" s="244"/>
      <c r="I8" s="247" t="s">
        <v>284</v>
      </c>
      <c r="J8" s="247" t="s">
        <v>86</v>
      </c>
      <c r="K8" s="247" t="s">
        <v>526</v>
      </c>
      <c r="L8"/>
      <c r="M8"/>
      <c r="N8"/>
      <c r="O8"/>
      <c r="P8"/>
      <c r="Q8"/>
    </row>
    <row r="9" spans="1:17">
      <c r="B9" s="248" t="s">
        <v>527</v>
      </c>
      <c r="D9" s="249">
        <f>'Input Page'!F45</f>
        <v>0</v>
      </c>
      <c r="E9" s="238">
        <f>+$E$11*D9</f>
        <v>0</v>
      </c>
      <c r="F9"/>
      <c r="G9" t="s">
        <v>528</v>
      </c>
      <c r="H9"/>
      <c r="I9" s="250">
        <v>1E-4</v>
      </c>
      <c r="J9" s="251">
        <f>1-I9</f>
        <v>0.99990000000000001</v>
      </c>
      <c r="K9" s="252">
        <v>0.14000000000000001</v>
      </c>
      <c r="L9"/>
      <c r="M9"/>
      <c r="N9"/>
      <c r="O9"/>
      <c r="P9"/>
      <c r="Q9"/>
    </row>
    <row r="10" spans="1:17">
      <c r="B10" s="248" t="s">
        <v>529</v>
      </c>
      <c r="D10" s="253">
        <f>1-D9</f>
        <v>1</v>
      </c>
      <c r="E10" s="254">
        <f>+$E$11*D10</f>
        <v>0</v>
      </c>
      <c r="F10"/>
      <c r="G10" t="s">
        <v>530</v>
      </c>
      <c r="H10"/>
      <c r="I10" s="255">
        <v>0.99990000000000001</v>
      </c>
      <c r="J10" s="251">
        <f>1-I10</f>
        <v>9.9999999999988987E-5</v>
      </c>
      <c r="K10" s="252"/>
      <c r="L10"/>
      <c r="M10"/>
      <c r="N10"/>
      <c r="O10"/>
      <c r="P10"/>
      <c r="Q10"/>
    </row>
    <row r="11" spans="1:17">
      <c r="B11" t="s">
        <v>531</v>
      </c>
      <c r="E11" s="238">
        <f>-SUMIF(F28:K28,"&lt;0")</f>
        <v>0</v>
      </c>
      <c r="F11"/>
      <c r="G11" t="s">
        <v>532</v>
      </c>
      <c r="H11"/>
      <c r="I11" s="255">
        <v>0.99990000000000001</v>
      </c>
      <c r="J11" s="251">
        <f>1-I11</f>
        <v>9.9999999999988987E-5</v>
      </c>
      <c r="K11" s="256"/>
      <c r="L11"/>
      <c r="M11"/>
      <c r="N11"/>
      <c r="O11"/>
      <c r="P11"/>
      <c r="Q11"/>
    </row>
    <row r="12" spans="1:17"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s="257"/>
      <c r="B13" s="258" t="s">
        <v>533</v>
      </c>
      <c r="C13" s="259"/>
      <c r="D13" s="259"/>
      <c r="E13" s="259"/>
      <c r="F13" s="260">
        <v>0</v>
      </c>
      <c r="G13" s="260">
        <f>F13+1</f>
        <v>1</v>
      </c>
      <c r="H13" s="260">
        <f>G13+1</f>
        <v>2</v>
      </c>
      <c r="I13" s="260">
        <f>H13+1</f>
        <v>3</v>
      </c>
      <c r="J13" s="260">
        <f>I13+1</f>
        <v>4</v>
      </c>
      <c r="K13" s="260">
        <f>J13+1</f>
        <v>5</v>
      </c>
      <c r="L13" s="257"/>
      <c r="M13"/>
      <c r="N13"/>
      <c r="O13"/>
      <c r="P13"/>
      <c r="Q13"/>
    </row>
    <row r="14" spans="1:17">
      <c r="A14" s="257"/>
      <c r="B14" s="261" t="s">
        <v>534</v>
      </c>
      <c r="C14" s="257"/>
      <c r="D14" s="262" t="e">
        <f>SUM(F14:K14)</f>
        <v>#DIV/0!</v>
      </c>
      <c r="E14" s="257"/>
      <c r="F14" s="262" t="e">
        <f t="shared" ref="F14:K14" si="0">F41+F57+F64</f>
        <v>#DIV/0!</v>
      </c>
      <c r="G14" s="262" t="e">
        <f>G41+G57+G64</f>
        <v>#DIV/0!</v>
      </c>
      <c r="H14" s="262" t="e">
        <f t="shared" si="0"/>
        <v>#DIV/0!</v>
      </c>
      <c r="I14" s="262" t="e">
        <f t="shared" si="0"/>
        <v>#DIV/0!</v>
      </c>
      <c r="J14" s="262" t="e">
        <f t="shared" si="0"/>
        <v>#DIV/0!</v>
      </c>
      <c r="K14" s="262" t="e">
        <f t="shared" si="0"/>
        <v>#DIV/0!</v>
      </c>
      <c r="L14" s="257"/>
      <c r="M14"/>
      <c r="N14"/>
      <c r="O14"/>
      <c r="P14"/>
      <c r="Q14"/>
    </row>
    <row r="15" spans="1:17">
      <c r="A15" s="257"/>
      <c r="B15" s="261" t="s">
        <v>535</v>
      </c>
      <c r="C15" s="257"/>
      <c r="D15" s="263" t="e">
        <f>SUM(F15:K15)</f>
        <v>#DIV/0!</v>
      </c>
      <c r="E15" s="257"/>
      <c r="F15" s="263" t="e">
        <f>+F40</f>
        <v>#DIV/0!</v>
      </c>
      <c r="G15" s="263" t="e">
        <f t="shared" ref="G15:K15" si="1">+G40</f>
        <v>#DIV/0!</v>
      </c>
      <c r="H15" s="263" t="e">
        <f t="shared" si="1"/>
        <v>#VALUE!</v>
      </c>
      <c r="I15" s="263">
        <f t="shared" si="1"/>
        <v>0</v>
      </c>
      <c r="J15" s="263">
        <f t="shared" si="1"/>
        <v>0</v>
      </c>
      <c r="K15" s="263">
        <f t="shared" si="1"/>
        <v>0</v>
      </c>
      <c r="L15" s="257"/>
      <c r="M15"/>
      <c r="N15"/>
      <c r="O15"/>
      <c r="P15"/>
      <c r="Q15"/>
    </row>
    <row r="16" spans="1:17">
      <c r="A16" s="257"/>
      <c r="B16" s="261" t="s">
        <v>536</v>
      </c>
      <c r="C16" s="257"/>
      <c r="D16" s="262" t="e">
        <f>SUM(F16:K16)</f>
        <v>#DIV/0!</v>
      </c>
      <c r="E16" s="257"/>
      <c r="F16" s="262" t="e">
        <f t="shared" ref="F16:K16" si="2">+-F15+F14</f>
        <v>#DIV/0!</v>
      </c>
      <c r="G16" s="262" t="e">
        <f t="shared" si="2"/>
        <v>#DIV/0!</v>
      </c>
      <c r="H16" s="262" t="e">
        <f t="shared" si="2"/>
        <v>#VALUE!</v>
      </c>
      <c r="I16" s="262" t="e">
        <f t="shared" si="2"/>
        <v>#DIV/0!</v>
      </c>
      <c r="J16" s="262" t="e">
        <f t="shared" si="2"/>
        <v>#DIV/0!</v>
      </c>
      <c r="K16" s="262" t="e">
        <f t="shared" si="2"/>
        <v>#DIV/0!</v>
      </c>
      <c r="L16" s="257"/>
      <c r="M16"/>
      <c r="N16"/>
      <c r="O16"/>
      <c r="P16"/>
      <c r="Q16"/>
    </row>
    <row r="17" spans="1:17">
      <c r="A17" s="257"/>
      <c r="B17" s="261" t="s">
        <v>526</v>
      </c>
      <c r="C17" s="257"/>
      <c r="D17" s="264" t="e">
        <f>IRR(F16:K16)</f>
        <v>#VALUE!</v>
      </c>
      <c r="E17" s="257"/>
      <c r="F17" s="257"/>
      <c r="G17" s="257"/>
      <c r="H17" s="257"/>
      <c r="I17" s="257"/>
      <c r="J17" s="257"/>
      <c r="K17" s="257"/>
      <c r="L17" s="257"/>
      <c r="M17"/>
      <c r="N17"/>
      <c r="O17"/>
      <c r="P17"/>
      <c r="Q17"/>
    </row>
    <row r="18" spans="1:17">
      <c r="A18" s="257"/>
      <c r="B18" s="261" t="s">
        <v>537</v>
      </c>
      <c r="C18" s="257"/>
      <c r="D18" s="265" t="e">
        <f>D14/D15</f>
        <v>#DIV/0!</v>
      </c>
      <c r="E18" s="257"/>
      <c r="F18" s="257"/>
      <c r="G18" s="257"/>
      <c r="H18" s="257"/>
      <c r="I18" s="257"/>
      <c r="J18" s="257"/>
      <c r="K18" s="257"/>
      <c r="L18" s="257"/>
      <c r="M18"/>
      <c r="N18"/>
      <c r="O18"/>
      <c r="P18"/>
      <c r="Q18"/>
    </row>
    <row r="19" spans="1:17">
      <c r="L19"/>
      <c r="M19"/>
      <c r="N19"/>
      <c r="O19"/>
      <c r="P19"/>
      <c r="Q19"/>
    </row>
    <row r="20" spans="1:17">
      <c r="A20" s="257"/>
      <c r="B20" s="258" t="s">
        <v>538</v>
      </c>
      <c r="C20" s="259"/>
      <c r="D20" s="259"/>
      <c r="E20" s="259"/>
      <c r="F20" s="260">
        <f t="shared" ref="F20:K20" si="3">F$13</f>
        <v>0</v>
      </c>
      <c r="G20" s="260">
        <f t="shared" si="3"/>
        <v>1</v>
      </c>
      <c r="H20" s="260">
        <f t="shared" si="3"/>
        <v>2</v>
      </c>
      <c r="I20" s="260">
        <f t="shared" si="3"/>
        <v>3</v>
      </c>
      <c r="J20" s="260">
        <f t="shared" si="3"/>
        <v>4</v>
      </c>
      <c r="K20" s="260">
        <f t="shared" si="3"/>
        <v>5</v>
      </c>
      <c r="L20" s="257"/>
      <c r="M20"/>
      <c r="N20"/>
      <c r="O20"/>
      <c r="P20"/>
      <c r="Q20"/>
    </row>
    <row r="21" spans="1:17">
      <c r="A21" s="257"/>
      <c r="B21" s="261" t="s">
        <v>534</v>
      </c>
      <c r="C21" s="257"/>
      <c r="D21" s="262" t="e">
        <f>SUM(F21:K21)</f>
        <v>#DIV/0!</v>
      </c>
      <c r="E21" s="257"/>
      <c r="F21" s="262" t="e">
        <f>+F36+F52+F63</f>
        <v>#DIV/0!</v>
      </c>
      <c r="G21" s="262" t="e">
        <f t="shared" ref="G21:K21" si="4">+G36+G52+G63</f>
        <v>#DIV/0!</v>
      </c>
      <c r="H21" s="262" t="e">
        <f t="shared" si="4"/>
        <v>#DIV/0!</v>
      </c>
      <c r="I21" s="262" t="e">
        <f t="shared" si="4"/>
        <v>#DIV/0!</v>
      </c>
      <c r="J21" s="262" t="e">
        <f t="shared" si="4"/>
        <v>#DIV/0!</v>
      </c>
      <c r="K21" s="262" t="e">
        <f t="shared" si="4"/>
        <v>#DIV/0!</v>
      </c>
      <c r="L21" s="257"/>
      <c r="M21"/>
      <c r="N21"/>
      <c r="O21"/>
      <c r="P21"/>
      <c r="Q21"/>
    </row>
    <row r="22" spans="1:17">
      <c r="A22" s="257"/>
      <c r="B22" s="261" t="s">
        <v>535</v>
      </c>
      <c r="C22" s="257"/>
      <c r="D22" s="263" t="e">
        <f>SUM(F22:K22)</f>
        <v>#DIV/0!</v>
      </c>
      <c r="E22" s="257"/>
      <c r="F22" s="263" t="e">
        <f t="shared" ref="F22:K22" si="5">+F35</f>
        <v>#DIV/0!</v>
      </c>
      <c r="G22" s="263" t="e">
        <f>+G35</f>
        <v>#DIV/0!</v>
      </c>
      <c r="H22" s="263" t="e">
        <f t="shared" si="5"/>
        <v>#VALUE!</v>
      </c>
      <c r="I22" s="263">
        <f t="shared" si="5"/>
        <v>0</v>
      </c>
      <c r="J22" s="263">
        <f t="shared" si="5"/>
        <v>0</v>
      </c>
      <c r="K22" s="263">
        <f t="shared" si="5"/>
        <v>0</v>
      </c>
      <c r="L22" s="257"/>
      <c r="M22"/>
      <c r="N22"/>
      <c r="O22"/>
      <c r="P22"/>
      <c r="Q22"/>
    </row>
    <row r="23" spans="1:17">
      <c r="A23" s="257"/>
      <c r="B23" s="261" t="s">
        <v>536</v>
      </c>
      <c r="C23" s="257"/>
      <c r="D23" s="262" t="e">
        <f>SUM(F23:K23)</f>
        <v>#DIV/0!</v>
      </c>
      <c r="E23" s="257"/>
      <c r="F23" s="262" t="e">
        <f t="shared" ref="F23:K23" si="6">-F22+F21</f>
        <v>#DIV/0!</v>
      </c>
      <c r="G23" s="262" t="e">
        <f t="shared" si="6"/>
        <v>#DIV/0!</v>
      </c>
      <c r="H23" s="262" t="e">
        <f t="shared" si="6"/>
        <v>#VALUE!</v>
      </c>
      <c r="I23" s="262" t="e">
        <f t="shared" si="6"/>
        <v>#DIV/0!</v>
      </c>
      <c r="J23" s="262" t="e">
        <f t="shared" si="6"/>
        <v>#DIV/0!</v>
      </c>
      <c r="K23" s="262" t="e">
        <f t="shared" si="6"/>
        <v>#DIV/0!</v>
      </c>
      <c r="L23" s="257"/>
      <c r="M23"/>
      <c r="N23"/>
      <c r="O23"/>
      <c r="P23"/>
      <c r="Q23"/>
    </row>
    <row r="24" spans="1:17">
      <c r="A24" s="257"/>
      <c r="B24" s="261" t="s">
        <v>526</v>
      </c>
      <c r="C24" s="257"/>
      <c r="D24" s="264" t="e">
        <f>IRR(F23:K23)</f>
        <v>#VALUE!</v>
      </c>
      <c r="E24" s="257"/>
      <c r="F24" s="257"/>
      <c r="G24" s="257"/>
      <c r="H24" s="257"/>
      <c r="I24" s="257"/>
      <c r="J24" s="257"/>
      <c r="K24" s="257"/>
      <c r="L24" s="257"/>
      <c r="M24"/>
      <c r="N24"/>
      <c r="O24"/>
      <c r="P24"/>
      <c r="Q24"/>
    </row>
    <row r="25" spans="1:17">
      <c r="A25" s="257"/>
      <c r="B25" s="261" t="s">
        <v>537</v>
      </c>
      <c r="C25" s="257"/>
      <c r="D25" s="265" t="e">
        <f>D21/D22</f>
        <v>#DIV/0!</v>
      </c>
      <c r="E25" s="257"/>
      <c r="F25" s="257"/>
      <c r="G25" s="257"/>
      <c r="H25" s="257"/>
      <c r="I25" s="257"/>
      <c r="J25" s="257"/>
      <c r="K25" s="257"/>
      <c r="L25" s="257"/>
      <c r="M25"/>
      <c r="N25"/>
      <c r="O25"/>
      <c r="P25"/>
      <c r="Q25"/>
    </row>
    <row r="26" spans="1:17"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266" t="s">
        <v>539</v>
      </c>
      <c r="C27" s="244"/>
      <c r="D27" s="244"/>
      <c r="E27" s="244"/>
      <c r="F27" s="267">
        <f t="shared" ref="F27:K27" si="7">F$13</f>
        <v>0</v>
      </c>
      <c r="G27" s="267">
        <f t="shared" si="7"/>
        <v>1</v>
      </c>
      <c r="H27" s="267">
        <f t="shared" si="7"/>
        <v>2</v>
      </c>
      <c r="I27" s="267">
        <f t="shared" si="7"/>
        <v>3</v>
      </c>
      <c r="J27" s="267">
        <f t="shared" si="7"/>
        <v>4</v>
      </c>
      <c r="K27" s="267">
        <f t="shared" si="7"/>
        <v>5</v>
      </c>
      <c r="L27"/>
      <c r="M27"/>
      <c r="N27"/>
      <c r="O27"/>
      <c r="P27"/>
      <c r="Q27"/>
    </row>
    <row r="28" spans="1:17">
      <c r="B28" s="248" t="s">
        <v>540</v>
      </c>
      <c r="F28" s="268" t="e">
        <f>-'Warehouse Exec Summary'!F28</f>
        <v>#DIV/0!</v>
      </c>
      <c r="G28" s="268" t="e">
        <f>IF('Input Page'!F51&lt;1,0,IF('Input Page'!F51=1,'Warehouse - 10 Year CF'!C117+'Development Costs'!I4-'Warehouse Debt'!F12,'Warehouse - 10 Year CF'!C117))</f>
        <v>#DIV/0!</v>
      </c>
      <c r="H28" s="268" t="e">
        <f>IF('Input Page'!F51&lt;2,0,IF('Input Page'!F51=2,'Warehouse - 10 Year CF'!D117+'Development Costs'!I4-'Warehouse Debt'!F12,'Warehouse - 10 Year CF'!D117))</f>
        <v>#VALUE!</v>
      </c>
      <c r="I28" s="268">
        <f>IF('Input Page'!F51&lt;3,0,IF('Input Page'!F51=3,'Warehouse - 10 Year CF'!E117+'Development Costs'!I4-'Warehouse Debt'!F12,'Warehouse - 10 Year CF'!E117))</f>
        <v>0</v>
      </c>
      <c r="J28" s="268">
        <f>IF('Input Page'!F51&lt;4,0,IF('Input Page'!F51=4,'Warehouse - 10 Year CF'!F117+'Development Costs'!I4-'Warehouse Debt'!F12,'Warehouse - 10 Year CF'!F117))</f>
        <v>0</v>
      </c>
      <c r="K28" s="268">
        <f>IF('Input Page'!F51&lt;5,0,IF('Input Page'!F51=2,'Warehouse - 10 Year CF'!G117+'Development Costs'!I4-'Warehouse Debt'!F12,'Warehouse - 10 Year CF'!G117))</f>
        <v>0</v>
      </c>
      <c r="L28"/>
      <c r="M28"/>
      <c r="N28"/>
      <c r="O28"/>
      <c r="P28"/>
      <c r="Q28"/>
    </row>
    <row r="29" spans="1:17">
      <c r="B29" s="248" t="s">
        <v>541</v>
      </c>
      <c r="F29" s="253" t="e">
        <f>IRR(F28:K28)</f>
        <v>#VALUE!</v>
      </c>
      <c r="G29"/>
      <c r="H29"/>
      <c r="I29"/>
      <c r="J29"/>
      <c r="K29"/>
      <c r="L29"/>
      <c r="M29"/>
      <c r="N29"/>
      <c r="O29"/>
      <c r="P29"/>
      <c r="Q29"/>
    </row>
    <row r="30" spans="1:17">
      <c r="B30" s="248" t="s">
        <v>537</v>
      </c>
      <c r="F30" s="269" t="e">
        <f>SUMIF(F28:K28,"&gt;0")/-SUMIF(F28:K28,"&lt;0")</f>
        <v>#DIV/0!</v>
      </c>
      <c r="G30"/>
      <c r="H30"/>
      <c r="I30"/>
      <c r="J30"/>
      <c r="K30"/>
      <c r="L30"/>
      <c r="M30"/>
      <c r="N30"/>
      <c r="O30"/>
      <c r="P30"/>
      <c r="Q30"/>
    </row>
    <row r="31" spans="1:17"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B32" s="266" t="s">
        <v>542</v>
      </c>
      <c r="C32" s="244"/>
      <c r="D32" s="244"/>
      <c r="E32" s="244"/>
      <c r="F32" s="267">
        <f t="shared" ref="F32:K32" si="8">F$13</f>
        <v>0</v>
      </c>
      <c r="G32" s="267">
        <f t="shared" si="8"/>
        <v>1</v>
      </c>
      <c r="H32" s="267">
        <f t="shared" si="8"/>
        <v>2</v>
      </c>
      <c r="I32" s="267">
        <f t="shared" si="8"/>
        <v>3</v>
      </c>
      <c r="J32" s="267">
        <f t="shared" si="8"/>
        <v>4</v>
      </c>
      <c r="K32" s="267">
        <f t="shared" si="8"/>
        <v>5</v>
      </c>
      <c r="L32"/>
      <c r="M32"/>
      <c r="N32"/>
      <c r="O32"/>
      <c r="P32"/>
      <c r="Q32"/>
    </row>
    <row r="33" spans="2:11">
      <c r="B33" s="248" t="s">
        <v>543</v>
      </c>
      <c r="F33" s="238">
        <f>E37</f>
        <v>0</v>
      </c>
      <c r="G33" s="238" t="e">
        <f t="shared" ref="G33:K33" si="9">F37</f>
        <v>#DIV/0!</v>
      </c>
      <c r="H33" s="238" t="e">
        <f t="shared" si="9"/>
        <v>#DIV/0!</v>
      </c>
      <c r="I33" s="238" t="e">
        <f t="shared" si="9"/>
        <v>#DIV/0!</v>
      </c>
      <c r="J33" s="238" t="e">
        <f t="shared" si="9"/>
        <v>#DIV/0!</v>
      </c>
      <c r="K33" s="238" t="e">
        <f t="shared" si="9"/>
        <v>#DIV/0!</v>
      </c>
    </row>
    <row r="34" spans="2:11">
      <c r="B34" s="248" t="s">
        <v>544</v>
      </c>
      <c r="F34" s="238">
        <f t="shared" ref="F34:K34" si="10">F33*$D$38</f>
        <v>0</v>
      </c>
      <c r="G34" s="238" t="e">
        <f>G33*$D$38</f>
        <v>#DIV/0!</v>
      </c>
      <c r="H34" s="238" t="e">
        <f>H33*$D$38</f>
        <v>#DIV/0!</v>
      </c>
      <c r="I34" s="238" t="e">
        <f t="shared" si="10"/>
        <v>#DIV/0!</v>
      </c>
      <c r="J34" s="238" t="e">
        <f t="shared" si="10"/>
        <v>#DIV/0!</v>
      </c>
      <c r="K34" s="238" t="e">
        <f t="shared" si="10"/>
        <v>#DIV/0!</v>
      </c>
    </row>
    <row r="35" spans="2:11">
      <c r="B35" s="248" t="s">
        <v>545</v>
      </c>
      <c r="D35" s="253">
        <f>$D$10</f>
        <v>1</v>
      </c>
      <c r="F35" s="238" t="e">
        <f>-MIN(F$28,0)*$D35</f>
        <v>#DIV/0!</v>
      </c>
      <c r="G35" s="238" t="e">
        <f t="shared" ref="G35:K35" si="11">-MIN(G$28,0)*$D35</f>
        <v>#DIV/0!</v>
      </c>
      <c r="H35" s="238" t="e">
        <f t="shared" si="11"/>
        <v>#VALUE!</v>
      </c>
      <c r="I35" s="238">
        <f t="shared" si="11"/>
        <v>0</v>
      </c>
      <c r="J35" s="238">
        <f t="shared" si="11"/>
        <v>0</v>
      </c>
      <c r="K35" s="238">
        <f t="shared" si="11"/>
        <v>0</v>
      </c>
    </row>
    <row r="36" spans="2:11">
      <c r="B36" s="248" t="s">
        <v>546</v>
      </c>
      <c r="D36" s="253">
        <f>$J$9</f>
        <v>0.99990000000000001</v>
      </c>
      <c r="F36" s="238" t="e">
        <f t="shared" ref="F36:K36" si="12">MIN(F33+F34,MAX(F28,0)*$D36)</f>
        <v>#DIV/0!</v>
      </c>
      <c r="G36" s="238" t="e">
        <f t="shared" si="12"/>
        <v>#DIV/0!</v>
      </c>
      <c r="H36" s="238" t="e">
        <f t="shared" si="12"/>
        <v>#DIV/0!</v>
      </c>
      <c r="I36" s="238" t="e">
        <f t="shared" si="12"/>
        <v>#DIV/0!</v>
      </c>
      <c r="J36" s="238" t="e">
        <f t="shared" si="12"/>
        <v>#DIV/0!</v>
      </c>
      <c r="K36" s="238" t="e">
        <f t="shared" si="12"/>
        <v>#DIV/0!</v>
      </c>
    </row>
    <row r="37" spans="2:11">
      <c r="B37" s="248" t="s">
        <v>547</v>
      </c>
      <c r="F37" s="238" t="e">
        <f>+F33+F34+F35-F36</f>
        <v>#DIV/0!</v>
      </c>
      <c r="G37" s="238" t="e">
        <f>+G33+G34+G35-G36</f>
        <v>#DIV/0!</v>
      </c>
      <c r="H37" s="238" t="e">
        <f t="shared" ref="H37:K37" si="13">+H33+H34+H35-H36</f>
        <v>#DIV/0!</v>
      </c>
      <c r="I37" s="238" t="e">
        <f t="shared" si="13"/>
        <v>#DIV/0!</v>
      </c>
      <c r="J37" s="238" t="e">
        <f t="shared" si="13"/>
        <v>#DIV/0!</v>
      </c>
      <c r="K37" s="238" t="e">
        <f t="shared" si="13"/>
        <v>#DIV/0!</v>
      </c>
    </row>
    <row r="38" spans="2:11">
      <c r="B38" s="248" t="s">
        <v>548</v>
      </c>
      <c r="D38" s="253">
        <f>K9</f>
        <v>0.14000000000000001</v>
      </c>
      <c r="E38" s="270" t="e">
        <f>IRR(F38:K38)</f>
        <v>#VALUE!</v>
      </c>
      <c r="F38" s="238" t="e">
        <f>-F35+F36</f>
        <v>#DIV/0!</v>
      </c>
      <c r="G38" s="238" t="e">
        <f>-G35+G36</f>
        <v>#DIV/0!</v>
      </c>
      <c r="H38" s="238" t="e">
        <f t="shared" ref="H38:K38" si="14">-H35+H36</f>
        <v>#VALUE!</v>
      </c>
      <c r="I38" s="238" t="e">
        <f t="shared" si="14"/>
        <v>#DIV/0!</v>
      </c>
      <c r="J38" s="238" t="e">
        <f t="shared" si="14"/>
        <v>#DIV/0!</v>
      </c>
      <c r="K38" s="238" t="e">
        <f t="shared" si="14"/>
        <v>#DIV/0!</v>
      </c>
    </row>
    <row r="39" spans="2:11">
      <c r="G39" s="271"/>
      <c r="H39" s="271"/>
      <c r="I39" s="271"/>
      <c r="J39" s="271"/>
      <c r="K39" s="271"/>
    </row>
    <row r="40" spans="2:11">
      <c r="B40" s="248" t="s">
        <v>549</v>
      </c>
      <c r="D40" s="253">
        <f>$D$9</f>
        <v>0</v>
      </c>
      <c r="F40" s="238" t="e">
        <f>-MIN(F$28,0)*$D40</f>
        <v>#DIV/0!</v>
      </c>
      <c r="G40" s="238" t="e">
        <f t="shared" ref="G40:K40" si="15">-MIN(G$28,0)*$D40</f>
        <v>#DIV/0!</v>
      </c>
      <c r="H40" s="238" t="e">
        <f t="shared" si="15"/>
        <v>#VALUE!</v>
      </c>
      <c r="I40" s="238">
        <f t="shared" si="15"/>
        <v>0</v>
      </c>
      <c r="J40" s="238">
        <f t="shared" si="15"/>
        <v>0</v>
      </c>
      <c r="K40" s="238">
        <f t="shared" si="15"/>
        <v>0</v>
      </c>
    </row>
    <row r="41" spans="2:11">
      <c r="B41" s="248" t="s">
        <v>550</v>
      </c>
      <c r="D41" s="1029">
        <f>$I$9</f>
        <v>1E-4</v>
      </c>
      <c r="F41" s="238" t="e">
        <f t="shared" ref="F41:K41" si="16">F36/$D36*$D41</f>
        <v>#DIV/0!</v>
      </c>
      <c r="G41" s="238" t="e">
        <f t="shared" si="16"/>
        <v>#DIV/0!</v>
      </c>
      <c r="H41" s="238" t="e">
        <f t="shared" si="16"/>
        <v>#DIV/0!</v>
      </c>
      <c r="I41" s="238" t="e">
        <f t="shared" si="16"/>
        <v>#DIV/0!</v>
      </c>
      <c r="J41" s="238" t="e">
        <f t="shared" si="16"/>
        <v>#DIV/0!</v>
      </c>
      <c r="K41" s="238" t="e">
        <f t="shared" si="16"/>
        <v>#DIV/0!</v>
      </c>
    </row>
    <row r="42" spans="2:11">
      <c r="B42" s="248" t="s">
        <v>551</v>
      </c>
      <c r="D42" s="253">
        <f>$K$9</f>
        <v>0.14000000000000001</v>
      </c>
      <c r="E42" s="272" t="e">
        <f>IRR(F42:K42)</f>
        <v>#VALUE!</v>
      </c>
      <c r="F42" s="238" t="e">
        <f t="shared" ref="F42:K42" si="17">+-F40+F41</f>
        <v>#DIV/0!</v>
      </c>
      <c r="G42" s="238" t="e">
        <f t="shared" si="17"/>
        <v>#DIV/0!</v>
      </c>
      <c r="H42" s="238" t="e">
        <f t="shared" si="17"/>
        <v>#VALUE!</v>
      </c>
      <c r="I42" s="238" t="e">
        <f t="shared" si="17"/>
        <v>#DIV/0!</v>
      </c>
      <c r="J42" s="238" t="e">
        <f t="shared" si="17"/>
        <v>#DIV/0!</v>
      </c>
      <c r="K42" s="238" t="e">
        <f t="shared" si="17"/>
        <v>#DIV/0!</v>
      </c>
    </row>
    <row r="43" spans="2:11"/>
    <row r="44" spans="2:11">
      <c r="B44" s="248" t="s">
        <v>552</v>
      </c>
      <c r="F44" s="238" t="e">
        <f t="shared" ref="F44:K44" si="18">+F36+F41</f>
        <v>#DIV/0!</v>
      </c>
      <c r="G44" s="238" t="e">
        <f>+G36+G41</f>
        <v>#DIV/0!</v>
      </c>
      <c r="H44" s="238" t="e">
        <f>+H36+H41</f>
        <v>#DIV/0!</v>
      </c>
      <c r="I44" s="238" t="e">
        <f>+I36+I41</f>
        <v>#DIV/0!</v>
      </c>
      <c r="J44" s="238" t="e">
        <f>+J36+J41</f>
        <v>#DIV/0!</v>
      </c>
      <c r="K44" s="238" t="e">
        <f t="shared" si="18"/>
        <v>#DIV/0!</v>
      </c>
    </row>
    <row r="45" spans="2:11">
      <c r="B45" s="248" t="s">
        <v>553</v>
      </c>
      <c r="F45" s="238" t="e">
        <f t="shared" ref="F45:J45" si="19">MAX(F28,0)-F44</f>
        <v>#DIV/0!</v>
      </c>
      <c r="G45" s="238" t="e">
        <f t="shared" si="19"/>
        <v>#DIV/0!</v>
      </c>
      <c r="H45" s="238" t="e">
        <f t="shared" si="19"/>
        <v>#VALUE!</v>
      </c>
      <c r="I45" s="238" t="e">
        <f>MAX(I28,0)-I44</f>
        <v>#DIV/0!</v>
      </c>
      <c r="J45" s="238" t="e">
        <f t="shared" si="19"/>
        <v>#DIV/0!</v>
      </c>
      <c r="K45" s="238" t="e">
        <f>MAX(K28,0)-K44</f>
        <v>#DIV/0!</v>
      </c>
    </row>
    <row r="46" spans="2:11"/>
    <row r="47" spans="2:11">
      <c r="B47" s="266" t="s">
        <v>530</v>
      </c>
      <c r="C47" s="244"/>
      <c r="D47" s="244"/>
      <c r="E47" s="244"/>
      <c r="F47" s="267">
        <f t="shared" ref="F47:K47" si="20">F$13</f>
        <v>0</v>
      </c>
      <c r="G47" s="267">
        <f t="shared" si="20"/>
        <v>1</v>
      </c>
      <c r="H47" s="267">
        <f t="shared" si="20"/>
        <v>2</v>
      </c>
      <c r="I47" s="267">
        <f t="shared" si="20"/>
        <v>3</v>
      </c>
      <c r="J47" s="267">
        <f t="shared" si="20"/>
        <v>4</v>
      </c>
      <c r="K47" s="267">
        <f t="shared" si="20"/>
        <v>5</v>
      </c>
    </row>
    <row r="48" spans="2:11">
      <c r="B48" s="248" t="s">
        <v>543</v>
      </c>
      <c r="F48" s="238">
        <f t="shared" ref="F48:K48" si="21">E53</f>
        <v>0</v>
      </c>
      <c r="G48" s="238" t="e">
        <f>F53</f>
        <v>#DIV/0!</v>
      </c>
      <c r="H48" s="238" t="e">
        <f t="shared" si="21"/>
        <v>#DIV/0!</v>
      </c>
      <c r="I48" s="238" t="e">
        <f t="shared" si="21"/>
        <v>#DIV/0!</v>
      </c>
      <c r="J48" s="238" t="e">
        <f t="shared" si="21"/>
        <v>#DIV/0!</v>
      </c>
      <c r="K48" s="238" t="e">
        <f t="shared" si="21"/>
        <v>#DIV/0!</v>
      </c>
    </row>
    <row r="49" spans="2:11">
      <c r="B49" s="248" t="s">
        <v>554</v>
      </c>
      <c r="F49" s="238">
        <f t="shared" ref="F49:K49" si="22">F48*$D$54</f>
        <v>0</v>
      </c>
      <c r="G49" s="238" t="e">
        <f t="shared" si="22"/>
        <v>#DIV/0!</v>
      </c>
      <c r="H49" s="238" t="e">
        <f t="shared" si="22"/>
        <v>#DIV/0!</v>
      </c>
      <c r="I49" s="238" t="e">
        <f t="shared" si="22"/>
        <v>#DIV/0!</v>
      </c>
      <c r="J49" s="238" t="e">
        <f t="shared" si="22"/>
        <v>#DIV/0!</v>
      </c>
      <c r="K49" s="238" t="e">
        <f t="shared" si="22"/>
        <v>#DIV/0!</v>
      </c>
    </row>
    <row r="50" spans="2:11">
      <c r="B50" s="248" t="s">
        <v>545</v>
      </c>
      <c r="D50" s="253"/>
      <c r="F50" s="238" t="e">
        <f t="shared" ref="F50:K51" si="23">F35</f>
        <v>#DIV/0!</v>
      </c>
      <c r="G50" s="238" t="e">
        <f t="shared" si="23"/>
        <v>#DIV/0!</v>
      </c>
      <c r="H50" s="238" t="e">
        <f t="shared" si="23"/>
        <v>#VALUE!</v>
      </c>
      <c r="I50" s="238">
        <f t="shared" si="23"/>
        <v>0</v>
      </c>
      <c r="J50" s="238">
        <f t="shared" si="23"/>
        <v>0</v>
      </c>
      <c r="K50" s="238">
        <f t="shared" si="23"/>
        <v>0</v>
      </c>
    </row>
    <row r="51" spans="2:11">
      <c r="B51" s="248" t="s">
        <v>555</v>
      </c>
      <c r="F51" s="238" t="e">
        <f t="shared" si="23"/>
        <v>#DIV/0!</v>
      </c>
      <c r="G51" s="238" t="e">
        <f t="shared" si="23"/>
        <v>#DIV/0!</v>
      </c>
      <c r="H51" s="238" t="e">
        <f t="shared" si="23"/>
        <v>#DIV/0!</v>
      </c>
      <c r="I51" s="238" t="e">
        <f t="shared" si="23"/>
        <v>#DIV/0!</v>
      </c>
      <c r="J51" s="238" t="e">
        <f t="shared" si="23"/>
        <v>#DIV/0!</v>
      </c>
      <c r="K51" s="238" t="e">
        <f t="shared" si="23"/>
        <v>#DIV/0!</v>
      </c>
    </row>
    <row r="52" spans="2:11">
      <c r="B52" s="248" t="s">
        <v>556</v>
      </c>
      <c r="D52" s="1029">
        <f>$J$10</f>
        <v>9.9999999999988987E-5</v>
      </c>
      <c r="F52" s="238" t="e">
        <f t="shared" ref="F52:K52" si="24">MIN(F48+F49-F51,F45*$D52)</f>
        <v>#DIV/0!</v>
      </c>
      <c r="G52" s="238" t="e">
        <f t="shared" si="24"/>
        <v>#DIV/0!</v>
      </c>
      <c r="H52" s="238" t="e">
        <f t="shared" si="24"/>
        <v>#DIV/0!</v>
      </c>
      <c r="I52" s="238" t="e">
        <f t="shared" si="24"/>
        <v>#DIV/0!</v>
      </c>
      <c r="J52" s="238" t="e">
        <f t="shared" si="24"/>
        <v>#DIV/0!</v>
      </c>
      <c r="K52" s="238" t="e">
        <f t="shared" si="24"/>
        <v>#DIV/0!</v>
      </c>
    </row>
    <row r="53" spans="2:11">
      <c r="B53" s="248" t="s">
        <v>547</v>
      </c>
      <c r="F53" s="238" t="e">
        <f>+F48+F49+F50-F51-F52</f>
        <v>#DIV/0!</v>
      </c>
      <c r="G53" s="238" t="e">
        <f>+G48+G49+G50-G51-G52</f>
        <v>#DIV/0!</v>
      </c>
      <c r="H53" s="238" t="e">
        <f t="shared" ref="H53:K53" si="25">+H48+H49+H50-H51-H52</f>
        <v>#DIV/0!</v>
      </c>
      <c r="I53" s="238" t="e">
        <f t="shared" si="25"/>
        <v>#DIV/0!</v>
      </c>
      <c r="J53" s="238" t="e">
        <f t="shared" si="25"/>
        <v>#DIV/0!</v>
      </c>
      <c r="K53" s="238" t="e">
        <f t="shared" si="25"/>
        <v>#DIV/0!</v>
      </c>
    </row>
    <row r="54" spans="2:11">
      <c r="B54" s="248" t="s">
        <v>548</v>
      </c>
      <c r="D54" s="1029">
        <f>K10</f>
        <v>0</v>
      </c>
      <c r="E54" s="1030" t="e">
        <f>IRR(F54:K54)</f>
        <v>#VALUE!</v>
      </c>
      <c r="F54" s="238" t="e">
        <f t="shared" ref="F54:K54" si="26">-F35+F52+F51</f>
        <v>#DIV/0!</v>
      </c>
      <c r="G54" s="238" t="e">
        <f t="shared" si="26"/>
        <v>#DIV/0!</v>
      </c>
      <c r="H54" s="238" t="e">
        <f t="shared" si="26"/>
        <v>#VALUE!</v>
      </c>
      <c r="I54" s="238" t="e">
        <f t="shared" si="26"/>
        <v>#DIV/0!</v>
      </c>
      <c r="J54" s="238" t="e">
        <f t="shared" si="26"/>
        <v>#DIV/0!</v>
      </c>
      <c r="K54" s="238" t="e">
        <f t="shared" si="26"/>
        <v>#DIV/0!</v>
      </c>
    </row>
    <row r="55" spans="2:11"/>
    <row r="56" spans="2:11">
      <c r="B56" s="248" t="s">
        <v>549</v>
      </c>
      <c r="F56" s="238" t="e">
        <f t="shared" ref="F56:K56" si="27">F40</f>
        <v>#DIV/0!</v>
      </c>
      <c r="G56" s="238" t="e">
        <f t="shared" si="27"/>
        <v>#DIV/0!</v>
      </c>
      <c r="H56" s="238" t="e">
        <f t="shared" si="27"/>
        <v>#VALUE!</v>
      </c>
      <c r="I56" s="238">
        <f t="shared" si="27"/>
        <v>0</v>
      </c>
      <c r="J56" s="238">
        <f t="shared" si="27"/>
        <v>0</v>
      </c>
      <c r="K56" s="238">
        <f t="shared" si="27"/>
        <v>0</v>
      </c>
    </row>
    <row r="57" spans="2:11">
      <c r="B57" s="248" t="s">
        <v>550</v>
      </c>
      <c r="D57" s="253">
        <f>$I$10</f>
        <v>0.99990000000000001</v>
      </c>
      <c r="F57" s="238" t="e">
        <f t="shared" ref="F57:K57" si="28">F52/$D52*$D57</f>
        <v>#DIV/0!</v>
      </c>
      <c r="G57" s="238" t="e">
        <f t="shared" si="28"/>
        <v>#DIV/0!</v>
      </c>
      <c r="H57" s="238" t="e">
        <f t="shared" si="28"/>
        <v>#DIV/0!</v>
      </c>
      <c r="I57" s="238" t="e">
        <f>I52/$D52*$D57</f>
        <v>#DIV/0!</v>
      </c>
      <c r="J57" s="238" t="e">
        <f t="shared" si="28"/>
        <v>#DIV/0!</v>
      </c>
      <c r="K57" s="238" t="e">
        <f t="shared" si="28"/>
        <v>#DIV/0!</v>
      </c>
    </row>
    <row r="58" spans="2:11"/>
    <row r="59" spans="2:11">
      <c r="B59" s="248" t="s">
        <v>552</v>
      </c>
      <c r="F59" s="238" t="e">
        <f t="shared" ref="F59:K59" si="29">F52+F57</f>
        <v>#DIV/0!</v>
      </c>
      <c r="G59" s="238" t="e">
        <f t="shared" si="29"/>
        <v>#DIV/0!</v>
      </c>
      <c r="H59" s="238" t="e">
        <f t="shared" si="29"/>
        <v>#DIV/0!</v>
      </c>
      <c r="I59" s="238" t="e">
        <f>I52+I57</f>
        <v>#DIV/0!</v>
      </c>
      <c r="J59" s="238" t="e">
        <f t="shared" si="29"/>
        <v>#DIV/0!</v>
      </c>
      <c r="K59" s="238" t="e">
        <f t="shared" si="29"/>
        <v>#DIV/0!</v>
      </c>
    </row>
    <row r="60" spans="2:11">
      <c r="B60" s="248" t="s">
        <v>553</v>
      </c>
      <c r="F60" s="238" t="e">
        <f t="shared" ref="F60:K60" si="30">F45-F59</f>
        <v>#DIV/0!</v>
      </c>
      <c r="G60" s="238" t="e">
        <f t="shared" si="30"/>
        <v>#DIV/0!</v>
      </c>
      <c r="H60" s="238" t="e">
        <f t="shared" si="30"/>
        <v>#VALUE!</v>
      </c>
      <c r="I60" s="238" t="e">
        <f t="shared" si="30"/>
        <v>#DIV/0!</v>
      </c>
      <c r="J60" s="238" t="e">
        <f t="shared" si="30"/>
        <v>#DIV/0!</v>
      </c>
      <c r="K60" s="238" t="e">
        <f t="shared" si="30"/>
        <v>#DIV/0!</v>
      </c>
    </row>
    <row r="61" spans="2:11"/>
    <row r="62" spans="2:11">
      <c r="B62" s="266" t="s">
        <v>532</v>
      </c>
      <c r="C62" s="244"/>
      <c r="D62" s="244"/>
      <c r="E62" s="244"/>
      <c r="F62" s="267">
        <f t="shared" ref="F62:K62" si="31">F$13</f>
        <v>0</v>
      </c>
      <c r="G62" s="267">
        <f t="shared" si="31"/>
        <v>1</v>
      </c>
      <c r="H62" s="267">
        <f t="shared" si="31"/>
        <v>2</v>
      </c>
      <c r="I62" s="267">
        <f t="shared" si="31"/>
        <v>3</v>
      </c>
      <c r="J62" s="267">
        <f t="shared" si="31"/>
        <v>4</v>
      </c>
      <c r="K62" s="267">
        <f t="shared" si="31"/>
        <v>5</v>
      </c>
    </row>
    <row r="63" spans="2:11">
      <c r="B63" s="248" t="s">
        <v>557</v>
      </c>
      <c r="D63" s="253">
        <f>J11</f>
        <v>9.9999999999988987E-5</v>
      </c>
      <c r="F63" s="238" t="e">
        <f t="shared" ref="F63:K63" si="32">F60*$D63</f>
        <v>#DIV/0!</v>
      </c>
      <c r="G63" s="238" t="e">
        <f t="shared" si="32"/>
        <v>#DIV/0!</v>
      </c>
      <c r="H63" s="238" t="e">
        <f t="shared" si="32"/>
        <v>#VALUE!</v>
      </c>
      <c r="I63" s="238" t="e">
        <f t="shared" si="32"/>
        <v>#DIV/0!</v>
      </c>
      <c r="J63" s="238" t="e">
        <f t="shared" si="32"/>
        <v>#DIV/0!</v>
      </c>
      <c r="K63" s="238" t="e">
        <f t="shared" si="32"/>
        <v>#DIV/0!</v>
      </c>
    </row>
    <row r="64" spans="2:11">
      <c r="B64" s="248" t="s">
        <v>550</v>
      </c>
      <c r="D64" s="253">
        <f>I11</f>
        <v>0.99990000000000001</v>
      </c>
      <c r="F64" s="238" t="e">
        <f>F60*$D64</f>
        <v>#DIV/0!</v>
      </c>
      <c r="G64" s="238" t="e">
        <f t="shared" ref="G64:K64" si="33">G60*$D64</f>
        <v>#DIV/0!</v>
      </c>
      <c r="H64" s="238" t="e">
        <f>H60*$D64</f>
        <v>#VALUE!</v>
      </c>
      <c r="I64" s="238" t="e">
        <f>I60*$D64</f>
        <v>#DIV/0!</v>
      </c>
      <c r="J64" s="238" t="e">
        <f t="shared" si="33"/>
        <v>#DIV/0!</v>
      </c>
      <c r="K64" s="238" t="e">
        <f t="shared" si="33"/>
        <v>#DIV/0!</v>
      </c>
    </row>
    <row r="65" spans="2:11">
      <c r="B65" s="248" t="s">
        <v>552</v>
      </c>
      <c r="F65" s="238" t="e">
        <f t="shared" ref="F65:K65" si="34">+F63+F64</f>
        <v>#DIV/0!</v>
      </c>
      <c r="G65" s="238" t="e">
        <f>+G63+G64</f>
        <v>#DIV/0!</v>
      </c>
      <c r="H65" s="238" t="e">
        <f t="shared" si="34"/>
        <v>#VALUE!</v>
      </c>
      <c r="I65" s="238" t="e">
        <f>+I63+I64</f>
        <v>#DIV/0!</v>
      </c>
      <c r="J65" s="238" t="e">
        <f t="shared" si="34"/>
        <v>#DIV/0!</v>
      </c>
      <c r="K65" s="238" t="e">
        <f t="shared" si="34"/>
        <v>#DIV/0!</v>
      </c>
    </row>
    <row r="66" spans="2:11" ht="5.0999999999999996" customHeight="1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</sheetData>
  <conditionalFormatting sqref="J8">
    <cfRule type="expression" dxfId="38" priority="4">
      <formula>$J$8="OK"</formula>
    </cfRule>
  </conditionalFormatting>
  <conditionalFormatting sqref="C14:C15 D18:D19">
    <cfRule type="expression" dxfId="37" priority="3">
      <formula>$D$4="Equity Multiple"</formula>
    </cfRule>
  </conditionalFormatting>
  <conditionalFormatting sqref="E18:E19">
    <cfRule type="expression" dxfId="36" priority="2">
      <formula>$D$4="Equity Multiple"</formula>
    </cfRule>
  </conditionalFormatting>
  <conditionalFormatting sqref="D24">
    <cfRule type="cellIs" dxfId="35" priority="1" operator="notEqual">
      <formula>0.14</formula>
    </cfRule>
  </conditionalFormatting>
  <dataValidations count="3">
    <dataValidation type="list" allowBlank="1" showInputMessage="1" showErrorMessage="1" sqref="E14" xr:uid="{99B131FC-2828-47C1-AF61-BFEC36529E58}">
      <formula1>"Capital Account, Capital Invested"</formula1>
    </dataValidation>
    <dataValidation type="list" allowBlank="1" showInputMessage="1" showErrorMessage="1" sqref="C58 D14" xr:uid="{21FFA152-CBFC-4CD0-ADBB-9D27FD94DC21}">
      <formula1>"Yes, No"</formula1>
    </dataValidation>
    <dataValidation type="list" allowBlank="1" showInputMessage="1" showErrorMessage="1" sqref="D4" xr:uid="{E92BC420-A4A3-4128-81FB-27C6B6139D44}">
      <formula1>"Cash-on-Cash (CoC)"</formula1>
    </dataValidation>
  </dataValidations>
  <pageMargins left="0.7" right="0.7" top="0.75" bottom="0.75" header="0.3" footer="0.3"/>
  <pageSetup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A66D9-285E-43AB-914A-76A0C1AB140F}">
  <sheetPr>
    <tabColor rgb="FF38B6A1"/>
    <pageSetUpPr fitToPage="1"/>
  </sheetPr>
  <dimension ref="C9:H25"/>
  <sheetViews>
    <sheetView view="pageBreakPreview" zoomScaleNormal="100" zoomScaleSheetLayoutView="100" workbookViewId="0">
      <selection activeCell="P33" sqref="P33"/>
    </sheetView>
  </sheetViews>
  <sheetFormatPr defaultRowHeight="15"/>
  <sheetData>
    <row r="9" spans="3:8" ht="33">
      <c r="C9" s="1692" t="s">
        <v>558</v>
      </c>
      <c r="D9" s="1693"/>
      <c r="E9" s="1693"/>
      <c r="F9" s="1693"/>
      <c r="G9" s="1693"/>
      <c r="H9" s="1693"/>
    </row>
    <row r="13" spans="3:8" ht="18.75">
      <c r="C13" s="1694"/>
      <c r="D13" s="1695"/>
      <c r="E13" s="1695"/>
      <c r="F13" s="1695"/>
      <c r="G13" s="1695"/>
      <c r="H13" s="1695"/>
    </row>
    <row r="17" spans="4:7">
      <c r="D17" s="1695"/>
      <c r="E17" s="1695"/>
      <c r="F17" s="1695"/>
      <c r="G17" s="1695"/>
    </row>
    <row r="18" spans="4:7">
      <c r="D18" s="1695"/>
      <c r="E18" s="1695"/>
      <c r="F18" s="1695"/>
      <c r="G18" s="1695"/>
    </row>
    <row r="19" spans="4:7">
      <c r="D19" s="1695"/>
      <c r="E19" s="1695"/>
      <c r="F19" s="1695"/>
      <c r="G19" s="1695"/>
    </row>
    <row r="20" spans="4:7">
      <c r="D20" s="1695"/>
      <c r="E20" s="1695"/>
      <c r="F20" s="1695"/>
      <c r="G20" s="1695"/>
    </row>
    <row r="21" spans="4:7">
      <c r="D21" s="1695"/>
      <c r="E21" s="1695"/>
      <c r="F21" s="1695"/>
      <c r="G21" s="1695"/>
    </row>
    <row r="22" spans="4:7">
      <c r="D22" s="1695"/>
      <c r="E22" s="1695"/>
      <c r="F22" s="1695"/>
      <c r="G22" s="1695"/>
    </row>
    <row r="23" spans="4:7">
      <c r="D23" s="1695"/>
      <c r="E23" s="1695"/>
      <c r="F23" s="1695"/>
      <c r="G23" s="1695"/>
    </row>
    <row r="24" spans="4:7">
      <c r="D24" s="1695"/>
      <c r="E24" s="1695"/>
      <c r="F24" s="1695"/>
      <c r="G24" s="1695"/>
    </row>
    <row r="25" spans="4:7">
      <c r="D25" s="1695"/>
      <c r="E25" s="1695"/>
      <c r="F25" s="1695"/>
      <c r="G25" s="1695"/>
    </row>
  </sheetData>
  <mergeCells count="3">
    <mergeCell ref="C9:H9"/>
    <mergeCell ref="C13:H13"/>
    <mergeCell ref="D17:G25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AE73"/>
  <sheetViews>
    <sheetView showGridLines="0" topLeftCell="A7" zoomScale="80" zoomScaleNormal="80" zoomScaleSheetLayoutView="90" zoomScalePageLayoutView="70" workbookViewId="0">
      <selection activeCell="Q42" sqref="Q42"/>
    </sheetView>
  </sheetViews>
  <sheetFormatPr defaultColWidth="9.140625" defaultRowHeight="15.75"/>
  <cols>
    <col min="1" max="1" width="1.85546875" style="7" customWidth="1"/>
    <col min="2" max="2" width="2.140625" style="7" customWidth="1"/>
    <col min="3" max="3" width="5.140625" style="7" customWidth="1"/>
    <col min="4" max="4" width="20.42578125" style="7" customWidth="1"/>
    <col min="5" max="5" width="10.5703125" style="7" customWidth="1"/>
    <col min="6" max="6" width="18.42578125" style="7" customWidth="1"/>
    <col min="7" max="7" width="15" style="7" customWidth="1"/>
    <col min="8" max="8" width="3.85546875" style="7" customWidth="1"/>
    <col min="9" max="11" width="1.85546875" style="7" customWidth="1"/>
    <col min="12" max="14" width="9.140625" style="7"/>
    <col min="15" max="15" width="16.140625" style="7" bestFit="1" customWidth="1"/>
    <col min="16" max="16" width="3.140625" style="7" customWidth="1"/>
    <col min="17" max="17" width="19.5703125" style="7" customWidth="1"/>
    <col min="18" max="18" width="2" style="7" customWidth="1"/>
    <col min="19" max="19" width="26.140625" style="24" customWidth="1"/>
    <col min="20" max="20" width="17.5703125" style="24" bestFit="1" customWidth="1"/>
    <col min="21" max="21" width="18.140625" style="24" bestFit="1" customWidth="1"/>
    <col min="22" max="22" width="9.140625" style="24"/>
    <col min="23" max="23" width="5.85546875" style="24" customWidth="1"/>
    <col min="24" max="29" width="15.140625" style="7" customWidth="1"/>
    <col min="30" max="30" width="5.85546875" style="7" customWidth="1"/>
    <col min="31" max="16384" width="9.140625" style="7"/>
  </cols>
  <sheetData>
    <row r="1" spans="1:31" ht="18.75">
      <c r="A1" s="1602" t="str">
        <f>UPPER('Input Page'!$F$32)</f>
        <v/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</row>
    <row r="2" spans="1:31" ht="18.75">
      <c r="A2" s="1602" t="s">
        <v>559</v>
      </c>
      <c r="B2" s="1602"/>
      <c r="C2" s="1602"/>
      <c r="D2" s="1602"/>
      <c r="E2" s="1602"/>
      <c r="F2" s="1602"/>
      <c r="G2" s="1602"/>
      <c r="H2" s="1602"/>
      <c r="I2" s="1602"/>
      <c r="J2" s="1602"/>
      <c r="K2" s="1602"/>
      <c r="L2" s="1602"/>
      <c r="M2" s="1602"/>
      <c r="N2" s="1602"/>
      <c r="O2" s="1602"/>
      <c r="P2" s="1602"/>
      <c r="Q2" s="1602"/>
    </row>
    <row r="3" spans="1:31" ht="16.5" thickBot="1"/>
    <row r="4" spans="1:31">
      <c r="A4" s="931" t="s">
        <v>246</v>
      </c>
      <c r="B4" s="224"/>
      <c r="C4" s="224"/>
      <c r="D4" s="224"/>
      <c r="E4" s="224"/>
      <c r="F4" s="138"/>
      <c r="G4" s="932"/>
      <c r="H4" s="933"/>
      <c r="I4" s="138"/>
      <c r="J4" s="138"/>
      <c r="K4" s="138"/>
      <c r="L4" s="138"/>
      <c r="M4" s="138"/>
      <c r="N4" s="138"/>
      <c r="O4" s="138"/>
      <c r="P4" s="138"/>
      <c r="Q4" s="222"/>
    </row>
    <row r="5" spans="1:31">
      <c r="A5" s="167"/>
      <c r="B5" s="34" t="s">
        <v>69</v>
      </c>
      <c r="C5" s="34"/>
      <c r="D5" s="34"/>
      <c r="E5" s="1714">
        <f>'Input Page'!F32</f>
        <v>0</v>
      </c>
      <c r="F5" s="1714"/>
      <c r="G5" s="50"/>
      <c r="Q5" s="140"/>
    </row>
    <row r="6" spans="1:31">
      <c r="A6" s="167"/>
      <c r="B6" s="34" t="s">
        <v>70</v>
      </c>
      <c r="C6" s="34"/>
      <c r="D6" s="34"/>
      <c r="E6" s="1714">
        <f>'Input Page'!F33</f>
        <v>0</v>
      </c>
      <c r="F6" s="1714"/>
      <c r="G6" s="50"/>
      <c r="H6" s="34"/>
      <c r="O6" s="61"/>
      <c r="Q6" s="140"/>
      <c r="S6" s="406"/>
    </row>
    <row r="7" spans="1:31">
      <c r="A7" s="167"/>
      <c r="B7" s="34" t="s">
        <v>71</v>
      </c>
      <c r="C7" s="34"/>
      <c r="D7" s="34"/>
      <c r="E7" s="166">
        <f>'Input Page'!F34</f>
        <v>0</v>
      </c>
      <c r="F7" s="533">
        <f>'Input Page'!G34</f>
        <v>0</v>
      </c>
      <c r="G7" s="50"/>
      <c r="Q7" s="140"/>
    </row>
    <row r="8" spans="1:31">
      <c r="A8" s="167"/>
      <c r="B8" s="34" t="s">
        <v>72</v>
      </c>
      <c r="C8" s="34"/>
      <c r="D8" s="34"/>
      <c r="E8" s="1410">
        <f>'Input Page'!$F$35</f>
        <v>0</v>
      </c>
      <c r="F8" s="166"/>
      <c r="G8" s="50"/>
      <c r="Q8" s="140"/>
    </row>
    <row r="9" spans="1:31">
      <c r="A9" s="167"/>
      <c r="B9" s="34" t="s">
        <v>73</v>
      </c>
      <c r="C9" s="34"/>
      <c r="D9" s="34"/>
      <c r="E9" s="1714">
        <f>'Input Page'!F36</f>
        <v>0</v>
      </c>
      <c r="F9" s="1714"/>
      <c r="G9" s="50"/>
      <c r="H9" s="34"/>
      <c r="I9" s="36"/>
      <c r="Q9" s="140"/>
    </row>
    <row r="10" spans="1:31" ht="16.5" thickBot="1">
      <c r="A10" s="167"/>
      <c r="B10" s="34"/>
      <c r="C10" s="34"/>
      <c r="D10" s="34"/>
      <c r="E10" s="34"/>
      <c r="F10" s="34"/>
      <c r="G10" s="50"/>
      <c r="H10" s="34"/>
      <c r="I10" s="34"/>
      <c r="Q10" s="140"/>
    </row>
    <row r="11" spans="1:31">
      <c r="A11" s="167"/>
      <c r="B11" s="34" t="s">
        <v>74</v>
      </c>
      <c r="C11" s="34"/>
      <c r="D11" s="34"/>
      <c r="E11" s="490">
        <f>'Unit Mix'!D39</f>
        <v>0</v>
      </c>
      <c r="F11" s="490">
        <f>'Input Page'!G38</f>
        <v>0</v>
      </c>
      <c r="G11" s="50"/>
      <c r="Q11" s="140"/>
      <c r="S11" s="86"/>
      <c r="W11" s="1451"/>
      <c r="X11" s="1452"/>
      <c r="Y11" s="1452"/>
      <c r="Z11" s="1452"/>
      <c r="AA11" s="1452"/>
      <c r="AB11" s="1452"/>
      <c r="AC11" s="1452"/>
      <c r="AD11" s="1453"/>
    </row>
    <row r="12" spans="1:31" ht="16.5" thickBot="1">
      <c r="A12" s="167"/>
      <c r="B12" s="34" t="s">
        <v>75</v>
      </c>
      <c r="C12" s="34"/>
      <c r="D12" s="34"/>
      <c r="E12" s="490">
        <f>'Input Page'!F39</f>
        <v>0</v>
      </c>
      <c r="F12" s="34"/>
      <c r="G12" s="50"/>
      <c r="Q12" s="140"/>
      <c r="W12" s="1450"/>
      <c r="X12" s="1217"/>
      <c r="Y12" s="1217"/>
      <c r="Z12" s="1217"/>
      <c r="AA12" s="1217"/>
      <c r="AB12" s="1217"/>
      <c r="AC12" s="1217"/>
      <c r="AD12" s="1448"/>
    </row>
    <row r="13" spans="1:31" ht="16.5" thickBot="1">
      <c r="A13" s="934"/>
      <c r="B13" s="374"/>
      <c r="C13" s="374"/>
      <c r="D13" s="374"/>
      <c r="E13" s="374"/>
      <c r="F13" s="374"/>
      <c r="G13" s="375"/>
      <c r="H13" s="34"/>
      <c r="I13" s="34"/>
      <c r="Q13" s="296"/>
      <c r="S13" s="279" t="s">
        <v>560</v>
      </c>
      <c r="W13" s="1450"/>
      <c r="X13" s="1729" t="s">
        <v>319</v>
      </c>
      <c r="Y13" s="1730"/>
      <c r="Z13" s="1730"/>
      <c r="AA13" s="1730"/>
      <c r="AB13" s="1730"/>
      <c r="AC13" s="1731"/>
      <c r="AD13" s="1448"/>
    </row>
    <row r="14" spans="1:31">
      <c r="A14" s="1732" t="s">
        <v>561</v>
      </c>
      <c r="B14" s="1733"/>
      <c r="C14" s="1733"/>
      <c r="D14" s="1733"/>
      <c r="E14" s="370"/>
      <c r="F14" s="370"/>
      <c r="G14" s="385"/>
      <c r="H14" s="34"/>
      <c r="I14" s="515" t="s">
        <v>562</v>
      </c>
      <c r="J14" s="33"/>
      <c r="K14" s="33"/>
      <c r="L14" s="33"/>
      <c r="M14" s="33"/>
      <c r="N14" s="33"/>
      <c r="O14" s="33"/>
      <c r="P14" s="33"/>
      <c r="Q14" s="935"/>
      <c r="R14" s="691"/>
      <c r="W14" s="1450"/>
      <c r="X14" s="135"/>
      <c r="AC14" s="140"/>
      <c r="AD14" s="1448"/>
    </row>
    <row r="15" spans="1:31">
      <c r="A15" s="167"/>
      <c r="B15" s="1734" t="s">
        <v>252</v>
      </c>
      <c r="C15" s="1735"/>
      <c r="D15" s="8" t="s">
        <v>253</v>
      </c>
      <c r="E15" s="8"/>
      <c r="F15" s="9" t="s">
        <v>226</v>
      </c>
      <c r="G15" s="10" t="s">
        <v>254</v>
      </c>
      <c r="H15" s="34" t="s">
        <v>250</v>
      </c>
      <c r="I15" s="27"/>
      <c r="J15" s="7" t="s">
        <v>255</v>
      </c>
      <c r="Q15" s="936">
        <f>'Input Page'!$F$122</f>
        <v>0</v>
      </c>
      <c r="R15" s="691"/>
      <c r="S15" s="86"/>
      <c r="T15" s="101"/>
      <c r="U15" s="101"/>
      <c r="W15" s="1450"/>
      <c r="X15" s="135"/>
      <c r="Z15" s="226" t="s">
        <v>563</v>
      </c>
      <c r="AA15" s="1388" t="s">
        <v>564</v>
      </c>
      <c r="AB15" s="1389" t="s">
        <v>565</v>
      </c>
      <c r="AC15" s="1396" t="s">
        <v>566</v>
      </c>
      <c r="AD15" s="1447"/>
      <c r="AE15" s="2"/>
    </row>
    <row r="16" spans="1:31">
      <c r="A16" s="167"/>
      <c r="B16" s="34"/>
      <c r="C16" s="34" t="str">
        <f>'Development Costs'!A4</f>
        <v>Acquisition Cost</v>
      </c>
      <c r="D16" s="34"/>
      <c r="E16" s="34"/>
      <c r="F16" s="522">
        <f>'Development Costs'!I8</f>
        <v>0</v>
      </c>
      <c r="G16" s="523" t="e">
        <f>F16/$E$11</f>
        <v>#DIV/0!</v>
      </c>
      <c r="H16" s="34"/>
      <c r="I16" s="27"/>
      <c r="J16" s="7" t="s">
        <v>258</v>
      </c>
      <c r="Q16" s="937" t="e">
        <f>'LIHTC Debt'!$F$6</f>
        <v>#DIV/0!</v>
      </c>
      <c r="R16" s="77"/>
      <c r="S16" s="40" t="s">
        <v>567</v>
      </c>
      <c r="T16" s="1024" t="e">
        <f>Q16/E11</f>
        <v>#DIV/0!</v>
      </c>
      <c r="U16" s="101"/>
      <c r="W16" s="1450"/>
      <c r="X16" s="135" t="str">
        <f>'Income &amp; OpEx'!B40</f>
        <v>Total Revenue</v>
      </c>
      <c r="Z16" s="570">
        <f>'Income &amp; OpEx'!M40</f>
        <v>0</v>
      </c>
      <c r="AA16" s="570" t="e">
        <f>Z16/E11</f>
        <v>#DIV/0!</v>
      </c>
      <c r="AB16" s="1390">
        <f>'Income &amp; OpEx'!O40</f>
        <v>0</v>
      </c>
      <c r="AC16" s="1393" t="e">
        <f>AB16/E11</f>
        <v>#DIV/0!</v>
      </c>
      <c r="AD16" s="1447"/>
      <c r="AE16" s="2"/>
    </row>
    <row r="17" spans="1:31" ht="16.5" thickBot="1">
      <c r="A17" s="167"/>
      <c r="B17" s="34"/>
      <c r="C17" s="34" t="str">
        <f>'Development Costs'!A10</f>
        <v>Construction Costs</v>
      </c>
      <c r="D17" s="34"/>
      <c r="E17" s="34"/>
      <c r="F17" s="522">
        <f>'Development Costs'!I26</f>
        <v>0</v>
      </c>
      <c r="G17" s="523" t="e">
        <f t="shared" ref="G17:G24" si="0">F17/$E$11</f>
        <v>#DIV/0!</v>
      </c>
      <c r="H17" s="34"/>
      <c r="I17" s="27"/>
      <c r="L17" s="7" t="s">
        <v>260</v>
      </c>
      <c r="Q17" s="938">
        <f>'Input Page'!F136</f>
        <v>0</v>
      </c>
      <c r="R17" s="78"/>
      <c r="S17" s="40" t="s">
        <v>568</v>
      </c>
      <c r="T17" s="101"/>
      <c r="U17" s="101"/>
      <c r="W17" s="1450"/>
      <c r="X17" s="136"/>
      <c r="Y17" s="139"/>
      <c r="Z17" s="139"/>
      <c r="AA17" s="139"/>
      <c r="AB17" s="139"/>
      <c r="AC17" s="141"/>
      <c r="AD17" s="1447"/>
      <c r="AE17" s="2"/>
    </row>
    <row r="18" spans="1:31" ht="16.5" thickBot="1">
      <c r="A18" s="167"/>
      <c r="B18" s="34"/>
      <c r="C18" s="34" t="str">
        <f>'Development Costs'!A28</f>
        <v>DD/3rd Party Fees &amp; Costs</v>
      </c>
      <c r="D18" s="34"/>
      <c r="E18" s="34"/>
      <c r="F18" s="522">
        <f>'Development Costs'!I50</f>
        <v>0</v>
      </c>
      <c r="G18" s="523" t="e">
        <f t="shared" si="0"/>
        <v>#DIV/0!</v>
      </c>
      <c r="H18" s="34"/>
      <c r="I18" s="27"/>
      <c r="L18" s="7" t="s">
        <v>262</v>
      </c>
      <c r="Q18" s="554">
        <v>0</v>
      </c>
      <c r="R18" s="78"/>
      <c r="S18" s="40"/>
      <c r="T18" s="101" t="s">
        <v>250</v>
      </c>
      <c r="U18" s="101"/>
      <c r="W18" s="1450"/>
      <c r="X18" s="1217"/>
      <c r="Y18" s="1443"/>
      <c r="Z18" s="1444"/>
      <c r="AA18" s="1445"/>
      <c r="AB18" s="1446"/>
      <c r="AC18" s="1217"/>
      <c r="AD18" s="1447"/>
      <c r="AE18" s="2"/>
    </row>
    <row r="19" spans="1:31" ht="16.5" thickBot="1">
      <c r="A19" s="167"/>
      <c r="B19" s="34"/>
      <c r="C19" s="34" t="str">
        <f>'Development Costs'!A52</f>
        <v>Financing Costs</v>
      </c>
      <c r="D19" s="34"/>
      <c r="E19" s="34"/>
      <c r="F19" s="522" t="e">
        <f>'Development Costs'!I76</f>
        <v>#DIV/0!</v>
      </c>
      <c r="G19" s="523" t="e">
        <f t="shared" si="0"/>
        <v>#DIV/0!</v>
      </c>
      <c r="H19" s="34"/>
      <c r="I19" s="27"/>
      <c r="L19" s="7" t="s">
        <v>264</v>
      </c>
      <c r="P19" s="226"/>
      <c r="Q19" s="939">
        <f>IF('Input Page'!F137="Yes", 0.25%,0)</f>
        <v>0</v>
      </c>
      <c r="R19" s="79"/>
      <c r="S19" s="40"/>
      <c r="T19" s="101"/>
      <c r="U19" s="101"/>
      <c r="W19" s="1450"/>
      <c r="X19" s="1729" t="s">
        <v>1037</v>
      </c>
      <c r="Y19" s="1730"/>
      <c r="Z19" s="1730"/>
      <c r="AA19" s="1730"/>
      <c r="AB19" s="1730"/>
      <c r="AC19" s="1731"/>
      <c r="AD19" s="1448"/>
    </row>
    <row r="20" spans="1:31">
      <c r="A20" s="167"/>
      <c r="B20" s="34"/>
      <c r="C20" s="34" t="str">
        <f>'Development Costs'!A78</f>
        <v>Other Project Costs</v>
      </c>
      <c r="D20" s="34"/>
      <c r="E20" s="34"/>
      <c r="F20" s="522">
        <f>'Development Costs'!I91</f>
        <v>800</v>
      </c>
      <c r="G20" s="523" t="e">
        <f t="shared" si="0"/>
        <v>#DIV/0!</v>
      </c>
      <c r="H20" s="34"/>
      <c r="I20" s="27"/>
      <c r="K20" s="7" t="s">
        <v>267</v>
      </c>
      <c r="Q20" s="938">
        <f>SUM(Q17:Q19)</f>
        <v>0</v>
      </c>
      <c r="R20" s="78"/>
      <c r="S20" s="40" t="s">
        <v>274</v>
      </c>
      <c r="T20" s="615" t="e">
        <f>IF(F27=F42,"GOOD","ERROR")</f>
        <v>#DIV/0!</v>
      </c>
      <c r="U20" s="101"/>
      <c r="W20" s="1450"/>
      <c r="X20" s="1386"/>
      <c r="Y20" s="1383"/>
      <c r="Z20" s="1382"/>
      <c r="AA20" s="1384"/>
      <c r="AB20" s="1382"/>
      <c r="AC20" s="1391"/>
      <c r="AD20" s="1448"/>
    </row>
    <row r="21" spans="1:31">
      <c r="A21" s="167"/>
      <c r="B21" s="34"/>
      <c r="C21" s="34" t="str">
        <f>'Development Costs'!A93</f>
        <v>Tax Credit Agency Fees</v>
      </c>
      <c r="D21" s="34"/>
      <c r="E21" s="34"/>
      <c r="F21" s="522" t="e">
        <f>'Development Costs'!I100</f>
        <v>#DIV/0!</v>
      </c>
      <c r="G21" s="523" t="e">
        <f t="shared" si="0"/>
        <v>#DIV/0!</v>
      </c>
      <c r="H21" s="34"/>
      <c r="I21" s="49"/>
      <c r="K21" s="7" t="s">
        <v>570</v>
      </c>
      <c r="Q21" s="936">
        <f>'Input Page'!F143</f>
        <v>0</v>
      </c>
      <c r="R21" s="691"/>
      <c r="S21" s="101"/>
      <c r="T21" s="101"/>
      <c r="U21" s="101"/>
      <c r="W21" s="1450"/>
      <c r="X21" s="354"/>
      <c r="Y21" s="1284"/>
      <c r="Z21" s="898" t="str">
        <f>Z15</f>
        <v>Warehouse</v>
      </c>
      <c r="AA21" s="1385" t="str">
        <f>AA15</f>
        <v>Warehouse/Unit</v>
      </c>
      <c r="AB21" s="901" t="str">
        <f>AB15</f>
        <v>Post Rehab</v>
      </c>
      <c r="AC21" s="1392" t="str">
        <f>AC15</f>
        <v>Post Rehab/Unit</v>
      </c>
      <c r="AD21" s="1448"/>
    </row>
    <row r="22" spans="1:31">
      <c r="A22" s="167"/>
      <c r="B22" s="34"/>
      <c r="C22" s="34" t="str">
        <f>'Development Costs'!A102</f>
        <v>Capitalized Costs - 12 Mos.</v>
      </c>
      <c r="D22" s="34"/>
      <c r="E22" s="34"/>
      <c r="F22" s="522" t="e">
        <f>'Development Costs'!I109</f>
        <v>#DIV/0!</v>
      </c>
      <c r="G22" s="523" t="e">
        <f t="shared" si="0"/>
        <v>#DIV/0!</v>
      </c>
      <c r="I22" s="27"/>
      <c r="K22" s="7" t="s">
        <v>271</v>
      </c>
      <c r="Q22" s="937">
        <f>'Input Page'!F135</f>
        <v>0</v>
      </c>
      <c r="R22" s="77"/>
      <c r="S22" s="86"/>
      <c r="T22" s="101"/>
      <c r="U22" s="101"/>
      <c r="W22" s="1450"/>
      <c r="X22" s="1387" t="str">
        <f>'Income &amp; OpEx'!K249</f>
        <v>Administrative Expenses</v>
      </c>
      <c r="Y22" s="58"/>
      <c r="Z22" s="570">
        <f>'Income &amp; OpEx'!M249</f>
        <v>0</v>
      </c>
      <c r="AA22" s="570" t="e">
        <f>'Income &amp; OpEx'!N249</f>
        <v>#DIV/0!</v>
      </c>
      <c r="AB22" s="1380">
        <f>'Income &amp; OpEx'!O249</f>
        <v>0</v>
      </c>
      <c r="AC22" s="1393" t="e">
        <f>'Income &amp; OpEx'!P249</f>
        <v>#DIV/0!</v>
      </c>
      <c r="AD22" s="1448"/>
    </row>
    <row r="23" spans="1:31" ht="16.5" thickBot="1">
      <c r="A23" s="167"/>
      <c r="B23" s="34"/>
      <c r="C23" s="34" t="str">
        <f>'Development Costs'!A111</f>
        <v>Reserves</v>
      </c>
      <c r="D23" s="34"/>
      <c r="E23" s="34"/>
      <c r="F23" s="522" t="e">
        <f>'Development Costs'!I116</f>
        <v>#DIV/0!</v>
      </c>
      <c r="G23" s="523" t="e">
        <f t="shared" si="0"/>
        <v>#DIV/0!</v>
      </c>
      <c r="I23" s="27"/>
      <c r="K23" s="7" t="s">
        <v>279</v>
      </c>
      <c r="Q23" s="940" t="e">
        <f>'LIHTC Debt'!G12</f>
        <v>#DIV/0!</v>
      </c>
      <c r="R23" s="77"/>
      <c r="S23" s="86"/>
      <c r="T23" s="101"/>
      <c r="U23" s="101"/>
      <c r="W23" s="1450"/>
      <c r="X23" s="1387" t="str">
        <f>'Income &amp; OpEx'!K250</f>
        <v>Operating/Maint. Expenses</v>
      </c>
      <c r="Y23" s="58"/>
      <c r="Z23" s="570">
        <f>'Income &amp; OpEx'!M250</f>
        <v>30000</v>
      </c>
      <c r="AA23" s="570" t="e">
        <f>'Income &amp; OpEx'!N250</f>
        <v>#DIV/0!</v>
      </c>
      <c r="AB23" s="902">
        <f>'Income &amp; OpEx'!O250</f>
        <v>30000</v>
      </c>
      <c r="AC23" s="1393" t="e">
        <f>'Income &amp; OpEx'!P250</f>
        <v>#DIV/0!</v>
      </c>
      <c r="AD23" s="1448"/>
    </row>
    <row r="24" spans="1:31">
      <c r="A24" s="167"/>
      <c r="B24" s="34"/>
      <c r="C24" s="34" t="str">
        <f>'Development Costs'!A121</f>
        <v>Developer Fee</v>
      </c>
      <c r="D24" s="34"/>
      <c r="E24" s="34"/>
      <c r="F24" s="522">
        <f>'Development Costs'!I122</f>
        <v>0</v>
      </c>
      <c r="G24" s="523" t="e">
        <f t="shared" si="0"/>
        <v>#DIV/0!</v>
      </c>
      <c r="H24" s="34"/>
      <c r="I24" s="27"/>
      <c r="L24" s="101" t="s">
        <v>281</v>
      </c>
      <c r="Q24" s="1216">
        <f>'Input Page'!F134</f>
        <v>0</v>
      </c>
      <c r="R24" s="77"/>
      <c r="S24" s="101"/>
      <c r="T24" s="101"/>
      <c r="U24" s="101"/>
      <c r="W24" s="1450"/>
      <c r="X24" s="1387" t="str">
        <f>'Income &amp; OpEx'!K251</f>
        <v>Taxes &amp; Insurance</v>
      </c>
      <c r="Y24" s="58"/>
      <c r="Z24" s="570">
        <f>'Income &amp; OpEx'!M251</f>
        <v>4095</v>
      </c>
      <c r="AA24" s="570" t="e">
        <f>'Income &amp; OpEx'!N251</f>
        <v>#DIV/0!</v>
      </c>
      <c r="AB24" s="902">
        <f>'Income &amp; OpEx'!O251</f>
        <v>4095</v>
      </c>
      <c r="AC24" s="1393" t="e">
        <f>'Income &amp; OpEx'!P251</f>
        <v>#DIV/0!</v>
      </c>
      <c r="AD24" s="1448"/>
    </row>
    <row r="25" spans="1:31">
      <c r="A25" s="167"/>
      <c r="B25" s="34"/>
      <c r="C25" s="34"/>
      <c r="D25" s="34"/>
      <c r="E25" s="34"/>
      <c r="F25" s="522"/>
      <c r="G25" s="523"/>
      <c r="H25" s="34"/>
      <c r="I25" s="27"/>
      <c r="Q25" s="941"/>
      <c r="R25" s="77"/>
      <c r="S25" s="101"/>
      <c r="T25" s="101"/>
      <c r="U25" s="101"/>
      <c r="W25" s="1450"/>
      <c r="X25" s="1387" t="s">
        <v>571</v>
      </c>
      <c r="Y25" s="58"/>
      <c r="Z25" s="579"/>
      <c r="AA25" s="579"/>
      <c r="AB25" s="1381"/>
      <c r="AC25" s="1394"/>
      <c r="AD25" s="1448"/>
    </row>
    <row r="26" spans="1:31">
      <c r="A26" s="167"/>
      <c r="B26" s="70"/>
      <c r="C26" s="70"/>
      <c r="D26" s="70"/>
      <c r="E26" s="70"/>
      <c r="F26" s="524"/>
      <c r="G26" s="525"/>
      <c r="H26" s="34"/>
      <c r="I26" s="27"/>
      <c r="Q26" s="140"/>
      <c r="R26" s="77"/>
      <c r="S26" s="101"/>
      <c r="T26" s="101"/>
      <c r="U26" s="101"/>
      <c r="W26" s="1450"/>
      <c r="X26" s="354"/>
      <c r="Y26" s="1284"/>
      <c r="Z26" s="899">
        <f>'Income &amp; OpEx'!M253</f>
        <v>34095</v>
      </c>
      <c r="AA26" s="899" t="e">
        <f>'Income &amp; OpEx'!N253</f>
        <v>#DIV/0!</v>
      </c>
      <c r="AB26" s="899">
        <f>'Income &amp; OpEx'!O253</f>
        <v>34095</v>
      </c>
      <c r="AC26" s="1395" t="e">
        <f>'Income &amp; OpEx'!P253</f>
        <v>#DIV/0!</v>
      </c>
      <c r="AD26" s="1448"/>
    </row>
    <row r="27" spans="1:31" ht="16.5" thickBot="1">
      <c r="A27" s="167"/>
      <c r="B27" s="1708" t="s">
        <v>272</v>
      </c>
      <c r="C27" s="1708"/>
      <c r="D27" s="1708"/>
      <c r="E27" s="34" t="s">
        <v>253</v>
      </c>
      <c r="F27" s="526" t="e">
        <f>ROUND(SUM(F16:F26),0)</f>
        <v>#DIV/0!</v>
      </c>
      <c r="G27" s="527" t="e">
        <f>SUM(G16:G24)</f>
        <v>#DIV/0!</v>
      </c>
      <c r="H27" s="34"/>
      <c r="I27" s="27"/>
      <c r="Q27" s="140"/>
      <c r="R27" s="77"/>
      <c r="S27" s="40" t="s">
        <v>572</v>
      </c>
      <c r="U27" s="519" t="e">
        <f>ROUND(SUM('Construction S&amp;U'!C35:C142),0)</f>
        <v>#DIV/0!</v>
      </c>
      <c r="V27" s="615" t="e">
        <f>IF(U27=F27,"GOOD","ERROR")</f>
        <v>#DIV/0!</v>
      </c>
      <c r="W27" s="1450"/>
      <c r="X27" s="136"/>
      <c r="Y27" s="139"/>
      <c r="Z27" s="139"/>
      <c r="AA27" s="139"/>
      <c r="AB27" s="139"/>
      <c r="AC27" s="141"/>
      <c r="AD27" s="1448"/>
    </row>
    <row r="28" spans="1:31" ht="16.5" thickBot="1">
      <c r="A28" s="934"/>
      <c r="B28" s="374"/>
      <c r="C28" s="374"/>
      <c r="D28" s="374"/>
      <c r="E28" s="374"/>
      <c r="F28" s="528"/>
      <c r="G28" s="529"/>
      <c r="H28" s="34"/>
      <c r="I28" s="373"/>
      <c r="J28" s="226"/>
      <c r="K28" s="226"/>
      <c r="L28" s="226"/>
      <c r="M28" s="226"/>
      <c r="N28" s="226"/>
      <c r="O28" s="226"/>
      <c r="P28" s="226"/>
      <c r="Q28" s="296"/>
      <c r="R28" s="80"/>
      <c r="S28" s="86"/>
      <c r="T28" s="101"/>
      <c r="U28" s="101"/>
      <c r="W28" s="1450"/>
      <c r="X28" s="1217"/>
      <c r="Y28" s="1217"/>
      <c r="Z28" s="1217"/>
      <c r="AA28" s="1217"/>
      <c r="AB28" s="1217"/>
      <c r="AC28" s="1217"/>
      <c r="AD28" s="1448"/>
    </row>
    <row r="29" spans="1:31" ht="16.5" thickBot="1">
      <c r="A29" s="942"/>
      <c r="B29" s="11" t="s">
        <v>276</v>
      </c>
      <c r="C29" s="12"/>
      <c r="D29" s="12"/>
      <c r="E29" s="12"/>
      <c r="F29" s="13" t="s">
        <v>226</v>
      </c>
      <c r="G29" s="14" t="s">
        <v>141</v>
      </c>
      <c r="H29" s="34"/>
      <c r="I29" s="47"/>
      <c r="Q29" s="140"/>
      <c r="S29" s="101"/>
      <c r="T29" s="101"/>
      <c r="U29" s="101"/>
      <c r="W29" s="1450"/>
      <c r="X29" s="1717" t="s">
        <v>484</v>
      </c>
      <c r="Y29" s="1718"/>
      <c r="Z29" s="1718"/>
      <c r="AA29" s="1718"/>
      <c r="AB29" s="1718"/>
      <c r="AC29" s="1719"/>
      <c r="AD29" s="1448"/>
    </row>
    <row r="30" spans="1:31">
      <c r="A30" s="167"/>
      <c r="B30" s="34"/>
      <c r="C30" s="34" t="s">
        <v>573</v>
      </c>
      <c r="D30" s="34"/>
      <c r="E30" s="34"/>
      <c r="F30" s="518" t="e">
        <f>Q16</f>
        <v>#DIV/0!</v>
      </c>
      <c r="G30" s="534" t="e">
        <f t="shared" ref="G30:G41" si="1">F30/$F$42</f>
        <v>#DIV/0!</v>
      </c>
      <c r="H30" s="34"/>
      <c r="I30" s="514" t="s">
        <v>574</v>
      </c>
      <c r="J30" s="513"/>
      <c r="K30" s="371"/>
      <c r="L30" s="371"/>
      <c r="M30" s="371"/>
      <c r="N30" s="371"/>
      <c r="O30" s="371"/>
      <c r="P30" s="371"/>
      <c r="Q30" s="943"/>
      <c r="R30" s="39"/>
      <c r="S30" s="101"/>
      <c r="T30" s="101"/>
      <c r="U30" s="101"/>
      <c r="W30" s="1450"/>
      <c r="X30" s="135"/>
      <c r="AC30" s="140"/>
      <c r="AD30" s="1448"/>
    </row>
    <row r="31" spans="1:31">
      <c r="A31" s="135"/>
      <c r="C31" s="7" t="s">
        <v>575</v>
      </c>
      <c r="F31" s="519" t="e">
        <f>'Tax Credit Calculations'!G20</f>
        <v>#DIV/0!</v>
      </c>
      <c r="G31" s="534" t="e">
        <f t="shared" si="1"/>
        <v>#DIV/0!</v>
      </c>
      <c r="I31" s="27"/>
      <c r="J31" s="74" t="s">
        <v>576</v>
      </c>
      <c r="K31" s="75"/>
      <c r="L31" s="76"/>
      <c r="M31" s="76"/>
      <c r="N31" s="76"/>
      <c r="O31" s="76"/>
      <c r="P31" s="76"/>
      <c r="Q31" s="944" t="e">
        <f>F41</f>
        <v>#DIV/0!</v>
      </c>
      <c r="R31" s="84"/>
      <c r="S31" s="109"/>
      <c r="T31" s="108"/>
      <c r="U31" s="101"/>
      <c r="W31" s="1450"/>
      <c r="X31" s="135"/>
      <c r="Z31" s="394" t="str">
        <f>Z21</f>
        <v>Warehouse</v>
      </c>
      <c r="AA31" s="1397" t="str">
        <f>AA21</f>
        <v>Warehouse/Unit</v>
      </c>
      <c r="AB31" s="1229" t="str">
        <f>AB21</f>
        <v>Post Rehab</v>
      </c>
      <c r="AC31" s="1398" t="str">
        <f>AC21</f>
        <v>Post Rehab/Unit</v>
      </c>
      <c r="AD31" s="1448"/>
    </row>
    <row r="32" spans="1:31">
      <c r="A32" s="135"/>
      <c r="C32" s="7" t="s">
        <v>577</v>
      </c>
      <c r="F32" s="520" t="e">
        <f>'Perm - 15 Year CF'!E132*0.5</f>
        <v>#DIV/0!</v>
      </c>
      <c r="G32" s="534" t="e">
        <f t="shared" si="1"/>
        <v>#DIV/0!</v>
      </c>
      <c r="I32" s="27"/>
      <c r="K32" s="7" t="s">
        <v>578</v>
      </c>
      <c r="Q32" s="945" t="e">
        <f>IF(SUM('Perm - 15 Year CF'!E144:P144)&gt;='LIHTC Exec Summary'!Q31,"YES","NO")</f>
        <v>#DIV/0!</v>
      </c>
      <c r="R32" s="77"/>
      <c r="S32" s="407" t="e">
        <f>Q32</f>
        <v>#DIV/0!</v>
      </c>
      <c r="T32" s="86" t="s">
        <v>579</v>
      </c>
      <c r="U32" s="101"/>
      <c r="W32" s="1450"/>
      <c r="X32" s="135" t="s">
        <v>484</v>
      </c>
      <c r="Z32" s="570">
        <f>'Income &amp; OpEx'!M236</f>
        <v>-34095</v>
      </c>
      <c r="AA32" s="570" t="e">
        <f>Z32/E11</f>
        <v>#DIV/0!</v>
      </c>
      <c r="AB32" s="1380">
        <f>'Income &amp; OpEx'!O236</f>
        <v>-34095</v>
      </c>
      <c r="AC32" s="1393" t="e">
        <f>AB32/E11</f>
        <v>#DIV/0!</v>
      </c>
      <c r="AD32" s="1448"/>
    </row>
    <row r="33" spans="1:30">
      <c r="A33" s="135"/>
      <c r="C33" s="7" t="s">
        <v>580</v>
      </c>
      <c r="F33" s="1058"/>
      <c r="G33" s="534" t="e">
        <f t="shared" si="1"/>
        <v>#DIV/0!</v>
      </c>
      <c r="I33" s="27"/>
      <c r="K33" s="405" t="s">
        <v>581</v>
      </c>
      <c r="Q33" s="945" t="e">
        <f>IF(SUM('Perm - 15 Year CF'!E144:S144)&gt;='LIHTC Exec Summary'!Q31,"YES","NO")</f>
        <v>#DIV/0!</v>
      </c>
      <c r="R33" s="77"/>
      <c r="S33" s="407" t="e">
        <f>Q33</f>
        <v>#DIV/0!</v>
      </c>
      <c r="T33" s="86" t="s">
        <v>582</v>
      </c>
      <c r="U33" s="109"/>
      <c r="W33" s="1450"/>
      <c r="X33" s="135"/>
      <c r="AC33" s="140"/>
      <c r="AD33" s="1448"/>
    </row>
    <row r="34" spans="1:30">
      <c r="A34" s="135"/>
      <c r="C34" s="7" t="s">
        <v>583</v>
      </c>
      <c r="F34" s="1058"/>
      <c r="G34" s="534" t="e">
        <f t="shared" si="1"/>
        <v>#DIV/0!</v>
      </c>
      <c r="I34" s="27"/>
      <c r="K34" s="64" t="s">
        <v>584</v>
      </c>
      <c r="L34" s="64"/>
      <c r="M34" s="64"/>
      <c r="N34" s="64"/>
      <c r="O34" s="64"/>
      <c r="P34" s="64"/>
      <c r="Q34" s="946" t="e">
        <f>F41/F24</f>
        <v>#DIV/0!</v>
      </c>
      <c r="R34" s="81"/>
      <c r="S34" s="408" t="e">
        <f>Q34</f>
        <v>#DIV/0!</v>
      </c>
      <c r="T34" s="86" t="s">
        <v>585</v>
      </c>
      <c r="U34" s="101"/>
      <c r="W34" s="1450"/>
      <c r="X34" s="135"/>
      <c r="AC34" s="140"/>
      <c r="AD34" s="1448"/>
    </row>
    <row r="35" spans="1:30">
      <c r="A35" s="135"/>
      <c r="C35" s="7" t="s">
        <v>586</v>
      </c>
      <c r="F35" s="520" t="e">
        <f>IF('Tax Credit Calculations'!$M$23="no",0,'Tax Credit Calculations'!$G$28)</f>
        <v>#DIV/0!</v>
      </c>
      <c r="G35" s="534" t="e">
        <f t="shared" si="1"/>
        <v>#DIV/0!</v>
      </c>
      <c r="I35" s="27"/>
      <c r="K35" s="64" t="s">
        <v>587</v>
      </c>
      <c r="L35" s="64"/>
      <c r="M35" s="64"/>
      <c r="N35" s="64"/>
      <c r="O35" s="64"/>
      <c r="P35" s="64"/>
      <c r="Q35" s="947" t="e">
        <f>SUM('Perm - 15 Year CF'!E132:S132)</f>
        <v>#DIV/0!</v>
      </c>
      <c r="R35" s="81"/>
      <c r="S35" s="409"/>
      <c r="T35" s="101"/>
      <c r="U35" s="101"/>
      <c r="W35" s="1450"/>
      <c r="X35" s="135"/>
      <c r="Z35" s="1047" t="str">
        <f>Z31</f>
        <v>Warehouse</v>
      </c>
      <c r="AA35" s="1397" t="str">
        <f>AA31</f>
        <v>Warehouse/Unit</v>
      </c>
      <c r="AB35" s="1229" t="str">
        <f>AB31</f>
        <v>Post Rehab</v>
      </c>
      <c r="AC35" s="1398" t="str">
        <f>AC31</f>
        <v>Post Rehab/Unit</v>
      </c>
      <c r="AD35" s="1448"/>
    </row>
    <row r="36" spans="1:30">
      <c r="A36" s="135"/>
      <c r="C36" s="7" t="s">
        <v>588</v>
      </c>
      <c r="F36" s="520">
        <f>IF('Tax Credit Calculations'!$M$31="no",0,'Tax Credit Calculations'!G$39)</f>
        <v>0</v>
      </c>
      <c r="G36" s="534" t="e">
        <f t="shared" si="1"/>
        <v>#DIV/0!</v>
      </c>
      <c r="I36" s="27"/>
      <c r="Q36" s="140"/>
      <c r="S36" s="86"/>
      <c r="T36" s="142"/>
      <c r="U36" s="101"/>
      <c r="W36" s="1450"/>
      <c r="X36" s="135" t="s">
        <v>589</v>
      </c>
      <c r="Z36" s="570" t="e">
        <f>'Warehouse - 10 Year CF'!C117</f>
        <v>#DIV/0!</v>
      </c>
      <c r="AA36" s="570" t="e">
        <f>Z36/E11</f>
        <v>#DIV/0!</v>
      </c>
      <c r="AB36" s="902" t="e">
        <f>'Perm - 15 Year CF'!E132</f>
        <v>#DIV/0!</v>
      </c>
      <c r="AC36" s="1393" t="e">
        <f>AB36/E11</f>
        <v>#DIV/0!</v>
      </c>
      <c r="AD36" s="1448"/>
    </row>
    <row r="37" spans="1:30" ht="16.5" thickBot="1">
      <c r="A37" s="135"/>
      <c r="C37" s="7" t="s">
        <v>590</v>
      </c>
      <c r="F37" s="520">
        <f>IF('Tax Credit Calculations'!$M$32="no",0,'Tax Credit Calculations'!$I$39)</f>
        <v>0</v>
      </c>
      <c r="G37" s="534" t="e">
        <f t="shared" si="1"/>
        <v>#DIV/0!</v>
      </c>
      <c r="I37" s="27"/>
      <c r="K37" s="7" t="s">
        <v>591</v>
      </c>
      <c r="Q37" s="664" t="e">
        <f>F24-F41</f>
        <v>#DIV/0!</v>
      </c>
      <c r="S37" s="86"/>
      <c r="T37" s="142"/>
      <c r="U37" s="101"/>
      <c r="W37" s="1450"/>
      <c r="X37" s="136"/>
      <c r="Y37" s="139"/>
      <c r="Z37" s="139"/>
      <c r="AA37" s="139"/>
      <c r="AB37" s="139"/>
      <c r="AC37" s="141"/>
      <c r="AD37" s="1448"/>
    </row>
    <row r="38" spans="1:30">
      <c r="A38" s="135"/>
      <c r="C38" s="7" t="s">
        <v>592</v>
      </c>
      <c r="F38" s="1058"/>
      <c r="G38" s="534" t="e">
        <f t="shared" si="1"/>
        <v>#DIV/0!</v>
      </c>
      <c r="I38" s="27"/>
      <c r="Q38" s="140"/>
      <c r="S38" s="86"/>
      <c r="T38" s="142"/>
      <c r="U38" s="101"/>
      <c r="W38" s="1450"/>
      <c r="X38" s="1217"/>
      <c r="Y38" s="1217"/>
      <c r="Z38" s="1217"/>
      <c r="AA38" s="1217"/>
      <c r="AB38" s="1217"/>
      <c r="AC38" s="1217"/>
      <c r="AD38" s="1448"/>
    </row>
    <row r="39" spans="1:30" ht="16.5" customHeight="1" thickBot="1">
      <c r="A39" s="135"/>
      <c r="C39" s="7" t="s">
        <v>593</v>
      </c>
      <c r="F39" s="1058"/>
      <c r="G39" s="534" t="e">
        <f t="shared" si="1"/>
        <v>#DIV/0!</v>
      </c>
      <c r="I39" s="27"/>
      <c r="Q39" s="140"/>
      <c r="S39" s="7"/>
      <c r="T39" s="7"/>
      <c r="U39" s="7"/>
      <c r="V39" s="7"/>
      <c r="W39" s="1230"/>
      <c r="X39" s="1231"/>
      <c r="Y39" s="1231"/>
      <c r="Z39" s="1231"/>
      <c r="AA39" s="1231"/>
      <c r="AB39" s="1231"/>
      <c r="AC39" s="1231"/>
      <c r="AD39" s="1449"/>
    </row>
    <row r="40" spans="1:30" ht="16.5" customHeight="1">
      <c r="A40" s="135"/>
      <c r="C40" s="7" t="s">
        <v>594</v>
      </c>
      <c r="F40" s="545" t="e">
        <f>0.8*('Development Costs'!I103+'Development Costs'!I105+'Development Costs'!I106)</f>
        <v>#DIV/0!</v>
      </c>
      <c r="G40" s="534" t="e">
        <f t="shared" si="1"/>
        <v>#DIV/0!</v>
      </c>
      <c r="I40" s="27"/>
      <c r="Q40" s="140"/>
      <c r="S40" s="7"/>
      <c r="T40" s="7"/>
      <c r="U40" s="7"/>
      <c r="V40" s="7"/>
    </row>
    <row r="41" spans="1:30">
      <c r="A41" s="135"/>
      <c r="B41" s="382"/>
      <c r="C41" s="226" t="s">
        <v>595</v>
      </c>
      <c r="D41" s="226"/>
      <c r="E41" s="226"/>
      <c r="F41" s="521" t="e">
        <f>F27-SUM(F30:F40)</f>
        <v>#DIV/0!</v>
      </c>
      <c r="G41" s="763" t="e">
        <f t="shared" si="1"/>
        <v>#DIV/0!</v>
      </c>
      <c r="I41" s="27"/>
      <c r="Q41" s="140"/>
      <c r="S41" s="7"/>
      <c r="T41" s="7"/>
      <c r="U41" s="7"/>
      <c r="V41" s="7"/>
    </row>
    <row r="42" spans="1:30">
      <c r="A42" s="794"/>
      <c r="B42" s="382" t="s">
        <v>282</v>
      </c>
      <c r="C42" s="382"/>
      <c r="D42" s="226"/>
      <c r="E42" s="226"/>
      <c r="F42" s="517" t="e">
        <f>SUM(F30:F41)</f>
        <v>#DIV/0!</v>
      </c>
      <c r="G42" s="535" t="e">
        <f>SUM(G30:G41)</f>
        <v>#DIV/0!</v>
      </c>
      <c r="I42" s="383"/>
      <c r="J42" s="226"/>
      <c r="K42" s="226"/>
      <c r="L42" s="226"/>
      <c r="M42" s="226"/>
      <c r="N42" s="226"/>
      <c r="O42" s="226"/>
      <c r="P42" s="226"/>
      <c r="Q42" s="948"/>
      <c r="R42" s="39"/>
      <c r="S42" s="40" t="s">
        <v>596</v>
      </c>
      <c r="T42" s="101"/>
      <c r="U42" s="519" t="e">
        <f>SUM('Construction S&amp;U'!C16:C26)+'Construction S&amp;U'!C28</f>
        <v>#DIV/0!</v>
      </c>
      <c r="V42" s="615" t="e">
        <f>IF(U42=F42,"GOOD","ERROR")</f>
        <v>#DIV/0!</v>
      </c>
    </row>
    <row r="43" spans="1:30">
      <c r="A43" s="949" t="s">
        <v>597</v>
      </c>
      <c r="B43" s="512"/>
      <c r="C43" s="512"/>
      <c r="D43" s="512"/>
      <c r="E43" s="512"/>
      <c r="F43" s="512"/>
      <c r="G43" s="536" t="str">
        <f>IF('Tax Credit Calculations'!K12&gt;8%,"9%", "4%")</f>
        <v>4%</v>
      </c>
      <c r="I43" s="511" t="s">
        <v>598</v>
      </c>
      <c r="J43" s="73"/>
      <c r="K43" s="73"/>
      <c r="L43" s="73"/>
      <c r="M43" s="73"/>
      <c r="N43" s="73"/>
      <c r="O43" s="73"/>
      <c r="P43" s="73"/>
      <c r="Q43" s="950"/>
      <c r="R43" s="39"/>
    </row>
    <row r="44" spans="1:30">
      <c r="A44" s="135"/>
      <c r="C44" s="7" t="s">
        <v>599</v>
      </c>
      <c r="G44" s="516" t="e">
        <f>'Tax Credit Calculations'!G10</f>
        <v>#DIV/0!</v>
      </c>
      <c r="I44" s="72"/>
      <c r="J44" s="7" t="s">
        <v>600</v>
      </c>
      <c r="Q44" s="664" t="e">
        <f>SUM('Development Costs'!R124+'Development Costs'!P124+'Development Costs'!L5)</f>
        <v>#DIV/0!</v>
      </c>
      <c r="S44" s="410"/>
      <c r="T44" s="101"/>
      <c r="U44" s="101"/>
    </row>
    <row r="45" spans="1:30">
      <c r="A45" s="135"/>
      <c r="C45" s="7" t="s">
        <v>601</v>
      </c>
      <c r="G45" s="516" t="e">
        <f>'Tax Credit Calculations'!G13</f>
        <v>#DIV/0!</v>
      </c>
      <c r="I45" s="72"/>
      <c r="J45" s="7" t="s">
        <v>602</v>
      </c>
      <c r="Q45" s="664" t="e">
        <f>SUM('Development Costs'!R124+'Development Costs'!L5+'Development Costs'!P124)*0.5</f>
        <v>#DIV/0!</v>
      </c>
      <c r="S45" s="1372" t="e">
        <f>Q45-Q16</f>
        <v>#DIV/0!</v>
      </c>
      <c r="T45" s="615" t="e">
        <f>IF(S45&gt;0,"ERROR","GOOD")</f>
        <v>#DIV/0!</v>
      </c>
      <c r="U45" s="101"/>
    </row>
    <row r="46" spans="1:30">
      <c r="A46" s="135"/>
      <c r="C46" s="7" t="s">
        <v>603</v>
      </c>
      <c r="G46" s="516" t="e">
        <f>'Tax Credit Calculations'!G15</f>
        <v>#DIV/0!</v>
      </c>
      <c r="I46" s="72"/>
      <c r="J46" s="7" t="s">
        <v>604</v>
      </c>
      <c r="Q46" s="951" t="e">
        <f>Q45/Q44</f>
        <v>#DIV/0!</v>
      </c>
      <c r="S46" s="40"/>
      <c r="T46" s="101"/>
      <c r="U46" s="101"/>
    </row>
    <row r="47" spans="1:30">
      <c r="A47" s="135"/>
      <c r="B47" s="226"/>
      <c r="C47" s="226" t="s">
        <v>605</v>
      </c>
      <c r="D47" s="226"/>
      <c r="E47" s="226"/>
      <c r="F47" s="226"/>
      <c r="G47" s="764">
        <f>'Tax Credit Calculations'!G16</f>
        <v>0.9</v>
      </c>
      <c r="I47" s="72"/>
      <c r="Q47" s="140"/>
      <c r="S47" s="101"/>
      <c r="T47" s="101"/>
      <c r="U47" s="101"/>
    </row>
    <row r="48" spans="1:30" ht="16.5" thickBot="1">
      <c r="A48" s="136"/>
      <c r="B48" s="952" t="s">
        <v>606</v>
      </c>
      <c r="C48" s="139"/>
      <c r="D48" s="139"/>
      <c r="E48" s="139"/>
      <c r="F48" s="139"/>
      <c r="G48" s="953" t="e">
        <f>'Tax Credit Calculations'!G20</f>
        <v>#DIV/0!</v>
      </c>
      <c r="H48" s="139"/>
      <c r="I48" s="954"/>
      <c r="J48" s="139"/>
      <c r="K48" s="139"/>
      <c r="L48" s="139"/>
      <c r="M48" s="139"/>
      <c r="N48" s="139"/>
      <c r="O48" s="139"/>
      <c r="P48" s="139"/>
      <c r="Q48" s="141"/>
    </row>
    <row r="49" spans="1:2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 s="69"/>
      <c r="T49" s="69"/>
      <c r="U49" s="69"/>
    </row>
    <row r="50" spans="1:21">
      <c r="A50" s="1715"/>
      <c r="B50" s="1715"/>
      <c r="C50" s="1715"/>
      <c r="D50" s="1715"/>
      <c r="E50" s="1715"/>
      <c r="F50" s="1715"/>
      <c r="G50" s="1715"/>
      <c r="H50"/>
      <c r="I50" s="47"/>
      <c r="S50" s="69"/>
      <c r="T50" s="69"/>
      <c r="U50" s="69"/>
    </row>
    <row r="51" spans="1:21">
      <c r="A51" s="34"/>
      <c r="B51" s="1708"/>
      <c r="C51" s="1708"/>
      <c r="D51" s="94"/>
      <c r="E51" s="94"/>
      <c r="F51" s="95"/>
      <c r="G51" s="96"/>
      <c r="H51"/>
      <c r="J51" s="24"/>
      <c r="Q51" s="42"/>
      <c r="R51" s="39"/>
      <c r="S51" s="69"/>
      <c r="T51" s="69"/>
      <c r="U51" s="69"/>
    </row>
    <row r="52" spans="1:21">
      <c r="A52" s="34"/>
      <c r="B52" s="34"/>
      <c r="C52" s="34"/>
      <c r="D52" s="34"/>
      <c r="E52" s="34"/>
      <c r="F52" s="92"/>
      <c r="G52" s="104"/>
      <c r="H52"/>
      <c r="I52" s="34"/>
      <c r="Q52" s="42"/>
      <c r="R52" s="39"/>
      <c r="S52" s="69"/>
      <c r="T52" s="69"/>
      <c r="U52" s="69"/>
    </row>
    <row r="53" spans="1:21">
      <c r="A53" s="34"/>
      <c r="B53" s="34"/>
      <c r="C53" s="34"/>
      <c r="D53" s="34"/>
      <c r="E53" s="34"/>
      <c r="F53" s="92"/>
      <c r="G53" s="104"/>
      <c r="H53"/>
      <c r="Q53" s="52"/>
      <c r="R53" s="29"/>
      <c r="S53" s="69"/>
      <c r="T53" s="69"/>
      <c r="U53" s="69"/>
    </row>
    <row r="54" spans="1:21">
      <c r="A54" s="34"/>
      <c r="B54" s="1407"/>
      <c r="C54" s="1407"/>
      <c r="D54" s="1407"/>
      <c r="E54" s="34"/>
      <c r="F54" s="93"/>
      <c r="G54" s="93"/>
      <c r="H54"/>
      <c r="Q54" s="105"/>
      <c r="R54" s="77"/>
      <c r="S54" s="69"/>
      <c r="T54" s="69"/>
      <c r="U54" s="69"/>
    </row>
    <row r="55" spans="1:21">
      <c r="A55" s="34"/>
      <c r="B55" s="34"/>
      <c r="C55" s="34"/>
      <c r="D55" s="34"/>
      <c r="E55" s="34"/>
      <c r="F55" s="34"/>
      <c r="G55" s="34"/>
      <c r="H55"/>
      <c r="Q55" s="105"/>
      <c r="R55" s="77"/>
      <c r="S55" s="69"/>
      <c r="T55" s="69"/>
      <c r="U55" s="69"/>
    </row>
    <row r="56" spans="1:21">
      <c r="A56" s="34"/>
      <c r="B56" s="94"/>
      <c r="C56" s="94"/>
      <c r="D56" s="94"/>
      <c r="E56" s="94"/>
      <c r="F56" s="97"/>
      <c r="G56" s="94"/>
      <c r="Q56" s="42"/>
      <c r="R56" s="39"/>
      <c r="S56" s="69"/>
      <c r="T56" s="69"/>
      <c r="U56" s="69"/>
    </row>
    <row r="57" spans="1:21">
      <c r="A57" s="34"/>
      <c r="B57" s="34"/>
      <c r="C57" s="34"/>
      <c r="D57" s="34"/>
      <c r="E57" s="34"/>
      <c r="F57" s="92"/>
      <c r="G57" s="99"/>
      <c r="Q57" s="42"/>
      <c r="R57" s="39"/>
      <c r="S57" s="69"/>
      <c r="T57" s="69"/>
      <c r="U57" s="69"/>
    </row>
    <row r="58" spans="1:21">
      <c r="A58" s="34"/>
      <c r="B58" s="34"/>
      <c r="C58" s="34"/>
      <c r="D58" s="34"/>
      <c r="E58" s="34"/>
      <c r="F58" s="92"/>
      <c r="G58" s="99"/>
      <c r="J58"/>
      <c r="Q58" s="40"/>
      <c r="R58" s="40"/>
      <c r="S58" s="69"/>
      <c r="T58" s="69"/>
      <c r="U58" s="69"/>
    </row>
    <row r="59" spans="1:21">
      <c r="F59" s="42"/>
      <c r="G59" s="99"/>
      <c r="S59" s="69"/>
      <c r="T59" s="69"/>
      <c r="U59" s="69"/>
    </row>
    <row r="60" spans="1:21">
      <c r="B60" s="24"/>
      <c r="C60" s="24"/>
      <c r="F60" s="62"/>
      <c r="G60" s="98"/>
      <c r="Q60" s="53"/>
      <c r="R60" s="31"/>
      <c r="S60" s="69"/>
      <c r="T60" s="69"/>
      <c r="U60" s="69"/>
    </row>
    <row r="61" spans="1:21">
      <c r="S61" s="69"/>
      <c r="T61" s="69"/>
      <c r="U61" s="69"/>
    </row>
    <row r="62" spans="1:21">
      <c r="A62" s="47"/>
      <c r="B62" s="47"/>
      <c r="C62" s="47"/>
      <c r="D62" s="47"/>
      <c r="E62" s="47"/>
      <c r="F62" s="47"/>
      <c r="G62" s="47"/>
      <c r="I62" s="34"/>
      <c r="Q62" s="42"/>
      <c r="R62" s="39"/>
      <c r="S62" s="69"/>
      <c r="T62" s="69"/>
      <c r="U62" s="69"/>
    </row>
    <row r="63" spans="1:21">
      <c r="B63" s="94"/>
      <c r="C63" s="94"/>
      <c r="D63" s="94"/>
      <c r="E63" s="94"/>
      <c r="F63" s="97"/>
      <c r="G63" s="94"/>
      <c r="Q63" s="82"/>
      <c r="R63" s="82"/>
      <c r="S63" s="69"/>
      <c r="T63" s="69"/>
      <c r="U63" s="69"/>
    </row>
    <row r="64" spans="1:21">
      <c r="E64" s="102"/>
      <c r="F64" s="103"/>
      <c r="Q64" s="105"/>
      <c r="R64" s="77"/>
      <c r="S64" s="69"/>
      <c r="T64" s="69"/>
      <c r="U64" s="69"/>
    </row>
    <row r="65" spans="2:21">
      <c r="E65" s="102"/>
      <c r="F65" s="103"/>
      <c r="Q65" s="105"/>
      <c r="R65" s="77"/>
      <c r="S65" s="69"/>
      <c r="T65" s="69"/>
      <c r="U65" s="69"/>
    </row>
    <row r="66" spans="2:21">
      <c r="B66" s="94"/>
      <c r="C66" s="94"/>
      <c r="D66" s="94"/>
      <c r="E66" s="94"/>
      <c r="F66" s="97"/>
      <c r="G66" s="94"/>
      <c r="Q66" s="42"/>
      <c r="R66" s="39"/>
    </row>
    <row r="67" spans="2:21">
      <c r="F67" s="52"/>
      <c r="Q67" s="100"/>
      <c r="R67" s="83"/>
    </row>
    <row r="68" spans="2:21">
      <c r="F68" s="52"/>
      <c r="Q68" s="41"/>
      <c r="R68" s="41"/>
    </row>
    <row r="69" spans="2:21">
      <c r="F69" s="52"/>
      <c r="J69"/>
    </row>
    <row r="70" spans="2:21">
      <c r="F70" s="52"/>
    </row>
    <row r="71" spans="2:21">
      <c r="F71" s="52"/>
    </row>
    <row r="72" spans="2:21">
      <c r="B72" s="94"/>
      <c r="C72" s="94"/>
      <c r="D72" s="94"/>
      <c r="E72" s="94"/>
      <c r="F72" s="97"/>
      <c r="G72" s="94"/>
      <c r="I72" s="24"/>
      <c r="J72" s="24"/>
      <c r="K72" s="24"/>
      <c r="L72" s="24"/>
      <c r="M72" s="24"/>
      <c r="N72" s="24"/>
      <c r="O72" s="24"/>
      <c r="P72" s="24"/>
      <c r="Q72" s="62"/>
      <c r="R72" s="45"/>
    </row>
    <row r="73" spans="2:21">
      <c r="F73" s="106"/>
    </row>
  </sheetData>
  <mergeCells count="13">
    <mergeCell ref="B51:C51"/>
    <mergeCell ref="A14:D14"/>
    <mergeCell ref="B27:D27"/>
    <mergeCell ref="B15:C15"/>
    <mergeCell ref="E5:F5"/>
    <mergeCell ref="E6:F6"/>
    <mergeCell ref="E9:F9"/>
    <mergeCell ref="A50:G50"/>
    <mergeCell ref="X19:AC19"/>
    <mergeCell ref="X13:AC13"/>
    <mergeCell ref="X29:AC29"/>
    <mergeCell ref="A1:Q1"/>
    <mergeCell ref="A2:Q2"/>
  </mergeCells>
  <phoneticPr fontId="7" type="noConversion"/>
  <conditionalFormatting sqref="S34">
    <cfRule type="cellIs" dxfId="34" priority="22" operator="greaterThan">
      <formula>1</formula>
    </cfRule>
  </conditionalFormatting>
  <conditionalFormatting sqref="S34">
    <cfRule type="cellIs" dxfId="33" priority="25" operator="between">
      <formula>0</formula>
      <formula>0.31</formula>
    </cfRule>
  </conditionalFormatting>
  <conditionalFormatting sqref="S34">
    <cfRule type="cellIs" dxfId="32" priority="24" operator="between">
      <formula>30</formula>
      <formula>51</formula>
    </cfRule>
  </conditionalFormatting>
  <conditionalFormatting sqref="S34">
    <cfRule type="cellIs" dxfId="31" priority="23" operator="between">
      <formula>50</formula>
      <formula>100</formula>
    </cfRule>
  </conditionalFormatting>
  <conditionalFormatting sqref="S34">
    <cfRule type="cellIs" dxfId="30" priority="21" operator="between">
      <formula>51</formula>
      <formula>100</formula>
    </cfRule>
  </conditionalFormatting>
  <conditionalFormatting sqref="S34">
    <cfRule type="cellIs" dxfId="29" priority="20" operator="between">
      <formula>0.51</formula>
      <formula>1</formula>
    </cfRule>
  </conditionalFormatting>
  <conditionalFormatting sqref="S34">
    <cfRule type="cellIs" dxfId="28" priority="19" operator="between">
      <formula>0.3</formula>
      <formula>0.5</formula>
    </cfRule>
  </conditionalFormatting>
  <conditionalFormatting sqref="T36:T38">
    <cfRule type="containsText" dxfId="27" priority="15" operator="containsText" text="15">
      <formula>NOT(ISERROR(SEARCH("15",T36)))</formula>
    </cfRule>
    <cfRule type="containsText" dxfId="26" priority="16" operator="containsText" text="GOOD">
      <formula>NOT(ISERROR(SEARCH("GOOD",T36)))</formula>
    </cfRule>
  </conditionalFormatting>
  <conditionalFormatting sqref="U16">
    <cfRule type="cellIs" dxfId="25" priority="12" operator="between">
      <formula>70000</formula>
      <formula>95000</formula>
    </cfRule>
    <cfRule type="cellIs" dxfId="24" priority="13" operator="lessThan">
      <formula>70000</formula>
    </cfRule>
    <cfRule type="cellIs" dxfId="23" priority="14" operator="greaterThan">
      <formula>95000</formula>
    </cfRule>
  </conditionalFormatting>
  <conditionalFormatting sqref="T16">
    <cfRule type="cellIs" dxfId="22" priority="7" operator="between">
      <formula>70000</formula>
      <formula>95000</formula>
    </cfRule>
    <cfRule type="cellIs" dxfId="21" priority="8" operator="lessThan">
      <formula>70000</formula>
    </cfRule>
    <cfRule type="cellIs" dxfId="20" priority="9" operator="greaterThan">
      <formula>95000</formula>
    </cfRule>
  </conditionalFormatting>
  <dataValidations count="2">
    <dataValidation type="list" allowBlank="1" showInputMessage="1" showErrorMessage="1" sqref="C38" xr:uid="{F738D56A-12ED-4CA3-9593-677D73FB1ADB}">
      <formula1>"Soft Debt 1, Hard Debt 2"</formula1>
    </dataValidation>
    <dataValidation type="list" allowBlank="1" showInputMessage="1" showErrorMessage="1" sqref="C39" xr:uid="{61AED641-2DD0-4BD5-8D17-B28932798DC9}">
      <formula1>"Soft Debt 1, Soft Debt 2"</formula1>
    </dataValidation>
  </dataValidations>
  <printOptions horizontalCentered="1"/>
  <pageMargins left="1" right="1" top="1" bottom="1" header="0.5" footer="0.5"/>
  <pageSetup scale="55" orientation="portrait" r:id="rId1"/>
  <headerFooter scaleWithDoc="0">
    <oddHeader xml:space="preserve">&amp;R&amp;"Times New Roman,Regular"&amp;7
</oddHeader>
    <oddFooter>&amp;L&amp;8PRIVELEGED AND CONFIDENTIAL&amp;R&amp;G</oddFooter>
    <firstHeader>&amp;CEXECUTIVE SUMMARY</firstHeader>
  </headerFooter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0" operator="containsText" id="{669E6512-5952-472F-B942-B3F5EF7A0FCD}">
            <xm:f>NOT(ISERROR(SEARCH("YES",R44)))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containsText" priority="39" operator="containsText" id="{68AB5040-4091-49A3-B1FF-9F60094CA273}">
            <xm:f>NOT(ISERROR(SEARCH("NO",R44)))</xm:f>
            <xm:f>"NO"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containsText" priority="38" operator="containsText" id="{A4E97340-8BC0-4921-A4B9-7C6C2CDF22A5}">
            <xm:f>NOT(ISERROR(SEARCH("YES",Q45)))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Q45:R46</xm:sqref>
        </x14:conditionalFormatting>
        <x14:conditionalFormatting xmlns:xm="http://schemas.microsoft.com/office/excel/2006/main">
          <x14:cfRule type="containsText" priority="37" operator="containsText" id="{948379EF-CC45-4D0B-90C5-221794C31A52}">
            <xm:f>NOT(ISERROR(SEARCH("NO",Q45)))</xm:f>
            <xm:f>"NO"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Q45:R46</xm:sqref>
        </x14:conditionalFormatting>
        <x14:conditionalFormatting xmlns:xm="http://schemas.microsoft.com/office/excel/2006/main">
          <x14:cfRule type="containsText" priority="35" operator="containsText" id="{99FD1116-FB0E-4AB1-AFF9-C0B7E8BFECFB}">
            <xm:f>NOT(ISERROR(SEARCH("NO",S32)))</xm:f>
            <xm:f>"NO"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S32</xm:sqref>
        </x14:conditionalFormatting>
        <x14:conditionalFormatting xmlns:xm="http://schemas.microsoft.com/office/excel/2006/main">
          <x14:cfRule type="containsText" priority="34" operator="containsText" id="{0FEA2ADE-09A5-404D-86C5-BF3E0E892559}">
            <xm:f>NOT(ISERROR(SEARCH("NO",S33)))</xm:f>
            <xm:f>"NO"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S33</xm:sqref>
        </x14:conditionalFormatting>
        <x14:conditionalFormatting xmlns:xm="http://schemas.microsoft.com/office/excel/2006/main">
          <x14:cfRule type="containsText" priority="33" operator="containsText" id="{65CDF4C4-AF7E-4F4C-AF92-D4C27738AF43}">
            <xm:f>NOT(ISERROR(SEARCH("YES",S32)))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S32</xm:sqref>
        </x14:conditionalFormatting>
        <x14:conditionalFormatting xmlns:xm="http://schemas.microsoft.com/office/excel/2006/main">
          <x14:cfRule type="containsText" priority="32" operator="containsText" id="{CB6A3017-3B80-4270-A29C-E4569C209402}">
            <xm:f>NOT(ISERROR(SEARCH("YES",S33)))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S33</xm:sqref>
        </x14:conditionalFormatting>
        <x14:conditionalFormatting xmlns:xm="http://schemas.microsoft.com/office/excel/2006/main">
          <x14:cfRule type="containsText" priority="28" operator="containsText" id="{19569597-85EB-49B6-8323-FF9A4A014AA7}">
            <xm:f>NOT(ISERROR(SEARCH("ERROR",T20)))</xm:f>
            <xm:f>"ERROR"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T20</xm:sqref>
        </x14:conditionalFormatting>
        <x14:conditionalFormatting xmlns:xm="http://schemas.microsoft.com/office/excel/2006/main">
          <x14:cfRule type="containsText" priority="27" operator="containsText" id="{923BC7BF-FEE4-44F5-B24D-C52735B131DF}">
            <xm:f>NOT(ISERROR(SEARCH("GOOD",T20)))</xm:f>
            <xm:f>"GOOD"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T20</xm:sqref>
        </x14:conditionalFormatting>
        <x14:conditionalFormatting xmlns:xm="http://schemas.microsoft.com/office/excel/2006/main">
          <x14:cfRule type="containsText" priority="18" operator="containsText" id="{EB9677CA-3812-4319-A937-A0F5449F264C}">
            <xm:f>NOT(ISERROR(SEARCH("YES",Q44)))</xm:f>
            <xm:f>"YES"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Q44</xm:sqref>
        </x14:conditionalFormatting>
        <x14:conditionalFormatting xmlns:xm="http://schemas.microsoft.com/office/excel/2006/main">
          <x14:cfRule type="containsText" priority="17" operator="containsText" id="{7D4780F7-6ABA-4E9D-B846-07FCA82FD25A}">
            <xm:f>NOT(ISERROR(SEARCH("NO",Q44)))</xm:f>
            <xm:f>"NO"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Q44</xm:sqref>
        </x14:conditionalFormatting>
        <x14:conditionalFormatting xmlns:xm="http://schemas.microsoft.com/office/excel/2006/main">
          <x14:cfRule type="containsText" priority="6" operator="containsText" id="{AC2CF9F4-A94D-4071-A73D-8CC6792472A7}">
            <xm:f>NOT(ISERROR(SEARCH("ERROR",V27)))</xm:f>
            <xm:f>"ERROR"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V27</xm:sqref>
        </x14:conditionalFormatting>
        <x14:conditionalFormatting xmlns:xm="http://schemas.microsoft.com/office/excel/2006/main">
          <x14:cfRule type="containsText" priority="5" operator="containsText" id="{145FA011-868C-487E-94CE-135F36F3F60C}">
            <xm:f>NOT(ISERROR(SEARCH("GOOD",V27)))</xm:f>
            <xm:f>"GOOD"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V27</xm:sqref>
        </x14:conditionalFormatting>
        <x14:conditionalFormatting xmlns:xm="http://schemas.microsoft.com/office/excel/2006/main">
          <x14:cfRule type="containsText" priority="4" operator="containsText" id="{4F1C187C-D67C-4F74-A610-83735902AE07}">
            <xm:f>NOT(ISERROR(SEARCH("ERROR",V42)))</xm:f>
            <xm:f>"ERROR"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V42</xm:sqref>
        </x14:conditionalFormatting>
        <x14:conditionalFormatting xmlns:xm="http://schemas.microsoft.com/office/excel/2006/main">
          <x14:cfRule type="containsText" priority="3" operator="containsText" id="{54E2191E-E7BB-4670-929A-7083643B5378}">
            <xm:f>NOT(ISERROR(SEARCH("GOOD",V42)))</xm:f>
            <xm:f>"GOOD"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V42</xm:sqref>
        </x14:conditionalFormatting>
        <x14:conditionalFormatting xmlns:xm="http://schemas.microsoft.com/office/excel/2006/main">
          <x14:cfRule type="containsText" priority="2" operator="containsText" id="{86C73F44-F8CE-4029-B75F-1DFFC1DBCBDD}">
            <xm:f>NOT(ISERROR(SEARCH("ERROR",T45)))</xm:f>
            <xm:f>"ERROR"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T45</xm:sqref>
        </x14:conditionalFormatting>
        <x14:conditionalFormatting xmlns:xm="http://schemas.microsoft.com/office/excel/2006/main">
          <x14:cfRule type="containsText" priority="1" operator="containsText" id="{A38A40D8-B30B-4AA2-891B-A2E52D6A2C22}">
            <xm:f>NOT(ISERROR(SEARCH("GOOD",T45)))</xm:f>
            <xm:f>"GOOD"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T45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F9A5-C5A8-4157-BB92-964585F06CEF}">
  <sheetPr>
    <tabColor rgb="FFFF0000"/>
    <pageSetUpPr fitToPage="1"/>
  </sheetPr>
  <dimension ref="A1:L68"/>
  <sheetViews>
    <sheetView topLeftCell="A7" zoomScale="80" zoomScaleNormal="80" workbookViewId="0">
      <selection activeCell="B34" sqref="B34"/>
    </sheetView>
  </sheetViews>
  <sheetFormatPr defaultColWidth="9.140625" defaultRowHeight="15.75"/>
  <cols>
    <col min="1" max="1" width="44.140625" style="24" customWidth="1"/>
    <col min="2" max="3" width="15.85546875" style="152" customWidth="1"/>
    <col min="4" max="4" width="23.5703125" style="152" bestFit="1" customWidth="1"/>
    <col min="5" max="5" width="19.85546875" style="152" customWidth="1"/>
    <col min="6" max="6" width="17.85546875" style="152" hidden="1" customWidth="1"/>
    <col min="7" max="7" width="17.85546875" style="15" hidden="1" customWidth="1"/>
    <col min="8" max="16384" width="9.140625" style="7"/>
  </cols>
  <sheetData>
    <row r="1" spans="1:9" ht="18.75">
      <c r="A1" s="1602" t="str">
        <f>UPPER('Input Page'!$F$32)</f>
        <v/>
      </c>
      <c r="B1" s="1602"/>
      <c r="C1" s="1602"/>
      <c r="D1" s="1602"/>
      <c r="E1" s="1602"/>
      <c r="F1" s="1602"/>
      <c r="G1" s="1602"/>
      <c r="H1" s="24" t="s">
        <v>6</v>
      </c>
    </row>
    <row r="2" spans="1:9" ht="18.75">
      <c r="A2" s="1602" t="s">
        <v>7</v>
      </c>
      <c r="B2" s="1602"/>
      <c r="C2" s="1602"/>
      <c r="D2" s="1602"/>
      <c r="E2" s="1602"/>
      <c r="F2" s="1602"/>
      <c r="G2" s="1602"/>
    </row>
    <row r="3" spans="1:9" ht="16.5" thickBot="1">
      <c r="A3" s="1155"/>
      <c r="B3" s="1155"/>
      <c r="C3" s="1155"/>
      <c r="D3" s="1155"/>
      <c r="E3" s="1155"/>
      <c r="F3" s="1155"/>
      <c r="G3" s="1155"/>
    </row>
    <row r="4" spans="1:9" s="24" customFormat="1" ht="16.5" thickBot="1">
      <c r="A4" s="170"/>
      <c r="B4" s="1156" t="s">
        <v>8</v>
      </c>
      <c r="C4" s="1156" t="s">
        <v>9</v>
      </c>
      <c r="D4" s="1156" t="s">
        <v>10</v>
      </c>
      <c r="E4" s="1156" t="s">
        <v>11</v>
      </c>
      <c r="F4" s="1156" t="s">
        <v>12</v>
      </c>
      <c r="G4" s="1157" t="s">
        <v>13</v>
      </c>
      <c r="I4" s="87"/>
    </row>
    <row r="5" spans="1:9">
      <c r="A5" s="796" t="s">
        <v>14</v>
      </c>
      <c r="B5" s="1146"/>
      <c r="C5" s="1146"/>
      <c r="D5" s="1146"/>
      <c r="E5" s="1151"/>
      <c r="F5" s="1147"/>
      <c r="G5" s="1147"/>
    </row>
    <row r="6" spans="1:9">
      <c r="A6" s="1153" t="s">
        <v>15</v>
      </c>
      <c r="B6" s="685"/>
      <c r="C6" s="685"/>
      <c r="D6" s="685"/>
      <c r="E6" s="1151">
        <f t="shared" ref="E6:E64" si="0">IF(C6=0,0,B6-C6)</f>
        <v>0</v>
      </c>
      <c r="F6" s="686"/>
      <c r="G6" s="686"/>
    </row>
    <row r="7" spans="1:9">
      <c r="A7" s="1153" t="s">
        <v>16</v>
      </c>
      <c r="B7" s="685"/>
      <c r="C7" s="685"/>
      <c r="D7" s="685"/>
      <c r="E7" s="1151">
        <f t="shared" si="0"/>
        <v>0</v>
      </c>
      <c r="F7" s="686"/>
      <c r="G7" s="686"/>
    </row>
    <row r="8" spans="1:9">
      <c r="A8" s="1153" t="s">
        <v>17</v>
      </c>
      <c r="B8" s="685"/>
      <c r="C8" s="685"/>
      <c r="D8" s="685"/>
      <c r="E8" s="1151">
        <f t="shared" si="0"/>
        <v>0</v>
      </c>
      <c r="F8" s="686"/>
      <c r="G8" s="686"/>
    </row>
    <row r="9" spans="1:9">
      <c r="A9" s="1153" t="s">
        <v>18</v>
      </c>
      <c r="B9" s="1150"/>
      <c r="C9" s="685"/>
      <c r="D9" s="685"/>
      <c r="E9" s="1151">
        <f t="shared" si="0"/>
        <v>0</v>
      </c>
      <c r="F9" s="686"/>
      <c r="G9" s="686"/>
    </row>
    <row r="10" spans="1:9">
      <c r="A10" s="1153" t="s">
        <v>18</v>
      </c>
      <c r="B10" s="1150"/>
      <c r="C10" s="685"/>
      <c r="D10" s="685"/>
      <c r="E10" s="1151">
        <f t="shared" si="0"/>
        <v>0</v>
      </c>
      <c r="F10" s="686"/>
      <c r="G10" s="686"/>
    </row>
    <row r="11" spans="1:9">
      <c r="A11" s="1153" t="s">
        <v>18</v>
      </c>
      <c r="B11" s="1150"/>
      <c r="C11" s="685"/>
      <c r="D11" s="685"/>
      <c r="E11" s="1151">
        <f t="shared" si="0"/>
        <v>0</v>
      </c>
      <c r="F11" s="686"/>
      <c r="G11" s="686"/>
    </row>
    <row r="12" spans="1:9">
      <c r="A12" s="796" t="s">
        <v>19</v>
      </c>
      <c r="B12" s="1146"/>
      <c r="C12" s="1146"/>
      <c r="D12" s="1146"/>
      <c r="E12" s="1151"/>
      <c r="F12" s="1147"/>
      <c r="G12" s="1147"/>
    </row>
    <row r="13" spans="1:9">
      <c r="A13" s="1153" t="s">
        <v>20</v>
      </c>
      <c r="B13" s="1146">
        <f>'Development Costs'!I29+'Development Costs'!I30</f>
        <v>0</v>
      </c>
      <c r="C13" s="685"/>
      <c r="D13" s="685"/>
      <c r="E13" s="1151">
        <f t="shared" si="0"/>
        <v>0</v>
      </c>
      <c r="F13" s="686"/>
      <c r="G13" s="686"/>
    </row>
    <row r="14" spans="1:9">
      <c r="A14" s="1153" t="str">
        <f>'Development Costs'!C31</f>
        <v>Civil Engineering</v>
      </c>
      <c r="B14" s="1146">
        <f>'Development Costs'!I31</f>
        <v>0</v>
      </c>
      <c r="C14" s="685"/>
      <c r="D14" s="685"/>
      <c r="E14" s="1151">
        <f t="shared" si="0"/>
        <v>0</v>
      </c>
      <c r="F14" s="686"/>
      <c r="G14" s="686"/>
    </row>
    <row r="15" spans="1:9">
      <c r="A15" s="1153" t="str">
        <f>'Development Costs'!C32</f>
        <v>3rd Party Arch and Cost Review</v>
      </c>
      <c r="B15" s="1146">
        <f>'Development Costs'!I32</f>
        <v>0</v>
      </c>
      <c r="C15" s="685"/>
      <c r="D15" s="685"/>
      <c r="E15" s="1151">
        <f t="shared" si="0"/>
        <v>0</v>
      </c>
      <c r="F15" s="686"/>
      <c r="G15" s="686"/>
      <c r="I15" s="87"/>
    </row>
    <row r="16" spans="1:9">
      <c r="A16" s="1153" t="str">
        <f>'Development Costs'!C33</f>
        <v>PCNA</v>
      </c>
      <c r="B16" s="1146">
        <f>'Development Costs'!I33</f>
        <v>0</v>
      </c>
      <c r="C16" s="685"/>
      <c r="D16" s="685"/>
      <c r="E16" s="1151">
        <f t="shared" si="0"/>
        <v>0</v>
      </c>
      <c r="F16" s="686"/>
      <c r="G16" s="686"/>
    </row>
    <row r="17" spans="1:9">
      <c r="A17" s="1153" t="str">
        <f>'Development Costs'!C34</f>
        <v>Appraisal</v>
      </c>
      <c r="B17" s="1146">
        <f>'Development Costs'!I34</f>
        <v>0</v>
      </c>
      <c r="C17" s="685"/>
      <c r="D17" s="685"/>
      <c r="E17" s="1151">
        <f t="shared" si="0"/>
        <v>0</v>
      </c>
      <c r="F17" s="686"/>
      <c r="G17" s="686"/>
    </row>
    <row r="18" spans="1:9">
      <c r="A18" s="1153" t="str">
        <f>'Development Costs'!C35</f>
        <v>Market Study</v>
      </c>
      <c r="B18" s="1146">
        <f>'Development Costs'!I35</f>
        <v>0</v>
      </c>
      <c r="C18" s="685"/>
      <c r="D18" s="685"/>
      <c r="E18" s="1151">
        <f t="shared" si="0"/>
        <v>0</v>
      </c>
      <c r="F18" s="686"/>
      <c r="G18" s="686"/>
    </row>
    <row r="19" spans="1:9">
      <c r="A19" s="1153" t="str">
        <f>'Development Costs'!C36</f>
        <v>Rent Comp. Study</v>
      </c>
      <c r="B19" s="1146">
        <f>'Development Costs'!I36</f>
        <v>0</v>
      </c>
      <c r="C19" s="685"/>
      <c r="D19" s="685"/>
      <c r="E19" s="1151">
        <f t="shared" si="0"/>
        <v>0</v>
      </c>
      <c r="F19" s="686"/>
      <c r="G19" s="686"/>
      <c r="I19" s="87"/>
    </row>
    <row r="20" spans="1:9">
      <c r="A20" s="1153" t="str">
        <f>'Development Costs'!C37</f>
        <v>ALTA Survey</v>
      </c>
      <c r="B20" s="1146">
        <f>'Development Costs'!I37</f>
        <v>0</v>
      </c>
      <c r="C20" s="685"/>
      <c r="D20" s="685"/>
      <c r="E20" s="1151">
        <f t="shared" si="0"/>
        <v>0</v>
      </c>
      <c r="F20" s="686"/>
      <c r="G20" s="686"/>
      <c r="I20" s="87"/>
    </row>
    <row r="21" spans="1:9">
      <c r="A21" s="1153" t="str">
        <f>'Development Costs'!C38</f>
        <v>Environmental (Phase I/II)</v>
      </c>
      <c r="B21" s="1146">
        <f>'Development Costs'!I38</f>
        <v>0</v>
      </c>
      <c r="C21" s="685"/>
      <c r="D21" s="685"/>
      <c r="E21" s="1151">
        <f t="shared" si="0"/>
        <v>0</v>
      </c>
      <c r="F21" s="686"/>
      <c r="G21" s="686"/>
      <c r="I21" s="87"/>
    </row>
    <row r="22" spans="1:9">
      <c r="A22" s="1153" t="str">
        <f>'Development Costs'!C39</f>
        <v>Add'l Studies (Noise/Radon/Other)</v>
      </c>
      <c r="B22" s="1146">
        <f>'Development Costs'!I39</f>
        <v>0</v>
      </c>
      <c r="C22" s="685"/>
      <c r="D22" s="685"/>
      <c r="E22" s="1151">
        <f t="shared" si="0"/>
        <v>0</v>
      </c>
      <c r="F22" s="686"/>
      <c r="G22" s="686"/>
    </row>
    <row r="23" spans="1:9">
      <c r="A23" s="1153" t="str">
        <f>'Development Costs'!C40</f>
        <v>Environmental Mitigation</v>
      </c>
      <c r="B23" s="1146">
        <f>'Development Costs'!I40</f>
        <v>0</v>
      </c>
      <c r="C23" s="685"/>
      <c r="D23" s="685"/>
      <c r="E23" s="1151">
        <f t="shared" si="0"/>
        <v>0</v>
      </c>
      <c r="F23" s="686"/>
      <c r="G23" s="686"/>
    </row>
    <row r="24" spans="1:9">
      <c r="A24" s="1153" t="str">
        <f>'Development Costs'!C41</f>
        <v>Geotech/Soil Studies</v>
      </c>
      <c r="B24" s="1146">
        <f>'Development Costs'!I41</f>
        <v>0</v>
      </c>
      <c r="C24" s="685"/>
      <c r="D24" s="685"/>
      <c r="E24" s="1151">
        <f t="shared" si="0"/>
        <v>0</v>
      </c>
      <c r="F24" s="686"/>
      <c r="G24" s="686"/>
    </row>
    <row r="25" spans="1:9">
      <c r="A25" s="1153" t="str">
        <f>'Development Costs'!C42</f>
        <v>Cost Certification/Audit</v>
      </c>
      <c r="B25" s="1146">
        <f>'Development Costs'!I42</f>
        <v>0</v>
      </c>
      <c r="C25" s="685"/>
      <c r="D25" s="685"/>
      <c r="E25" s="1151">
        <f t="shared" si="0"/>
        <v>0</v>
      </c>
      <c r="F25" s="686"/>
      <c r="G25" s="686"/>
    </row>
    <row r="26" spans="1:9">
      <c r="A26" s="1153" t="str">
        <f>'Development Costs'!C43</f>
        <v>"Green" Audit/Consultant</v>
      </c>
      <c r="B26" s="1146">
        <f>'Development Costs'!I43</f>
        <v>0</v>
      </c>
      <c r="C26" s="685"/>
      <c r="D26" s="685"/>
      <c r="E26" s="1151">
        <f t="shared" si="0"/>
        <v>0</v>
      </c>
      <c r="F26" s="686"/>
      <c r="G26" s="686"/>
    </row>
    <row r="27" spans="1:9">
      <c r="A27" s="1153" t="str">
        <f>'Development Costs'!C44</f>
        <v>Energy Audit</v>
      </c>
      <c r="B27" s="1146">
        <f>'Development Costs'!I44</f>
        <v>0</v>
      </c>
      <c r="C27" s="685"/>
      <c r="D27" s="685"/>
      <c r="E27" s="1151">
        <f t="shared" si="0"/>
        <v>0</v>
      </c>
      <c r="F27" s="686"/>
      <c r="G27" s="686"/>
    </row>
    <row r="28" spans="1:9">
      <c r="A28" s="1153" t="str">
        <f>'Development Costs'!C45</f>
        <v>Historic Consultant</v>
      </c>
      <c r="B28" s="1146">
        <f>'Development Costs'!I45</f>
        <v>0</v>
      </c>
      <c r="C28" s="685"/>
      <c r="D28" s="685"/>
      <c r="E28" s="1151">
        <f t="shared" si="0"/>
        <v>0</v>
      </c>
      <c r="F28" s="686"/>
      <c r="G28" s="686"/>
    </row>
    <row r="29" spans="1:9">
      <c r="A29" s="1153" t="s">
        <v>21</v>
      </c>
      <c r="B29" s="1146">
        <f>('Development Costs'!I79+'Development Costs'!I80+'Development Costs'!I81+'Development Costs'!I82)</f>
        <v>0</v>
      </c>
      <c r="C29" s="685"/>
      <c r="D29" s="685"/>
      <c r="E29" s="1151">
        <f t="shared" si="0"/>
        <v>0</v>
      </c>
      <c r="F29" s="686"/>
      <c r="G29" s="686"/>
    </row>
    <row r="30" spans="1:9">
      <c r="A30" s="1153" t="s">
        <v>18</v>
      </c>
      <c r="B30" s="1150"/>
      <c r="C30" s="685"/>
      <c r="D30" s="685"/>
      <c r="E30" s="1151">
        <f t="shared" si="0"/>
        <v>0</v>
      </c>
      <c r="F30" s="686"/>
      <c r="G30" s="686"/>
    </row>
    <row r="31" spans="1:9">
      <c r="A31" s="1153" t="s">
        <v>18</v>
      </c>
      <c r="B31" s="1150"/>
      <c r="C31" s="685"/>
      <c r="D31" s="685"/>
      <c r="E31" s="1151">
        <f t="shared" si="0"/>
        <v>0</v>
      </c>
      <c r="F31" s="686"/>
      <c r="G31" s="686"/>
    </row>
    <row r="32" spans="1:9">
      <c r="A32" s="1153" t="s">
        <v>18</v>
      </c>
      <c r="B32" s="1150"/>
      <c r="C32" s="685"/>
      <c r="D32" s="685"/>
      <c r="E32" s="1151">
        <f t="shared" si="0"/>
        <v>0</v>
      </c>
      <c r="F32" s="686"/>
      <c r="G32" s="686"/>
    </row>
    <row r="33" spans="1:12">
      <c r="A33" s="796" t="s">
        <v>22</v>
      </c>
      <c r="B33" s="1146"/>
      <c r="C33" s="1146"/>
      <c r="D33" s="1146"/>
      <c r="E33" s="1151"/>
      <c r="F33" s="1147"/>
      <c r="G33" s="1147"/>
    </row>
    <row r="34" spans="1:12">
      <c r="A34" s="1153" t="str">
        <f>'Development Costs'!C94</f>
        <v>LIHTC Application Fee</v>
      </c>
      <c r="B34" s="1146">
        <f>'Development Costs'!I94</f>
        <v>4040</v>
      </c>
      <c r="C34" s="685"/>
      <c r="D34" s="685"/>
      <c r="E34" s="1151">
        <f t="shared" si="0"/>
        <v>0</v>
      </c>
      <c r="F34" s="686"/>
      <c r="G34" s="686"/>
    </row>
    <row r="35" spans="1:12">
      <c r="A35" s="1153" t="str">
        <f>'Development Costs'!C95</f>
        <v>LIHTC Reservation Fee</v>
      </c>
      <c r="B35" s="1146" t="e">
        <f>'Development Costs'!I95</f>
        <v>#DIV/0!</v>
      </c>
      <c r="C35" s="685"/>
      <c r="D35" s="685"/>
      <c r="E35" s="1151">
        <f t="shared" si="0"/>
        <v>0</v>
      </c>
      <c r="F35" s="686"/>
      <c r="G35" s="686"/>
    </row>
    <row r="36" spans="1:12">
      <c r="A36" s="1153" t="str">
        <f>'Development Costs'!C96</f>
        <v>LIHTC Commitment Fee</v>
      </c>
      <c r="B36" s="1146">
        <f>'Development Costs'!I96</f>
        <v>0</v>
      </c>
      <c r="C36" s="685"/>
      <c r="D36" s="685"/>
      <c r="E36" s="1151">
        <f t="shared" si="0"/>
        <v>0</v>
      </c>
      <c r="F36" s="686"/>
      <c r="G36" s="686"/>
    </row>
    <row r="37" spans="1:12">
      <c r="A37" s="1153" t="str">
        <f>'Development Costs'!C98</f>
        <v>Other State Agency Fees</v>
      </c>
      <c r="B37" s="1146">
        <f>'Development Costs'!I98</f>
        <v>0</v>
      </c>
      <c r="C37" s="685"/>
      <c r="D37" s="685"/>
      <c r="E37" s="1151">
        <f t="shared" si="0"/>
        <v>0</v>
      </c>
      <c r="F37" s="686"/>
      <c r="G37" s="686"/>
    </row>
    <row r="38" spans="1:12">
      <c r="A38" s="1153" t="str">
        <f>'Development Costs'!C99</f>
        <v>Soft Source Funding Fees</v>
      </c>
      <c r="B38" s="1146">
        <f>'Development Costs'!I99</f>
        <v>0</v>
      </c>
      <c r="C38" s="685"/>
      <c r="D38" s="685"/>
      <c r="E38" s="1151">
        <f t="shared" si="0"/>
        <v>0</v>
      </c>
      <c r="F38" s="686"/>
      <c r="G38" s="686"/>
    </row>
    <row r="39" spans="1:12">
      <c r="A39" s="1153" t="s">
        <v>18</v>
      </c>
      <c r="B39" s="1150"/>
      <c r="C39" s="685"/>
      <c r="D39" s="685"/>
      <c r="E39" s="1151">
        <f t="shared" si="0"/>
        <v>0</v>
      </c>
      <c r="F39" s="686"/>
      <c r="G39" s="686"/>
      <c r="H39" s="1028"/>
      <c r="L39" s="153"/>
    </row>
    <row r="40" spans="1:12">
      <c r="A40" s="1153" t="s">
        <v>18</v>
      </c>
      <c r="B40" s="1150"/>
      <c r="C40" s="685"/>
      <c r="D40" s="685"/>
      <c r="E40" s="1151">
        <f t="shared" si="0"/>
        <v>0</v>
      </c>
      <c r="F40" s="686"/>
      <c r="G40" s="686"/>
      <c r="L40" s="153"/>
    </row>
    <row r="41" spans="1:12">
      <c r="A41" s="1153" t="s">
        <v>18</v>
      </c>
      <c r="B41" s="1150"/>
      <c r="C41" s="685"/>
      <c r="D41" s="685"/>
      <c r="E41" s="1151">
        <f t="shared" si="0"/>
        <v>0</v>
      </c>
      <c r="F41" s="686"/>
      <c r="G41" s="686"/>
      <c r="L41" s="153"/>
    </row>
    <row r="42" spans="1:12">
      <c r="A42" s="796" t="s">
        <v>23</v>
      </c>
      <c r="B42" s="1146"/>
      <c r="C42" s="1146"/>
      <c r="D42" s="1146"/>
      <c r="E42" s="1151"/>
      <c r="F42" s="1147"/>
      <c r="G42" s="1147"/>
      <c r="L42" s="153"/>
    </row>
    <row r="43" spans="1:12">
      <c r="A43" s="1153" t="str">
        <f>'Development Costs'!C55</f>
        <v>Construction Loan Origination</v>
      </c>
      <c r="B43" s="1146">
        <f>'Development Costs'!I55</f>
        <v>0</v>
      </c>
      <c r="C43" s="685"/>
      <c r="D43" s="685"/>
      <c r="E43" s="1151">
        <f t="shared" si="0"/>
        <v>0</v>
      </c>
      <c r="F43" s="686"/>
      <c r="G43" s="686"/>
      <c r="L43" s="153"/>
    </row>
    <row r="44" spans="1:12">
      <c r="A44" s="1153" t="str">
        <f>'Development Costs'!C56</f>
        <v>Construction Lender - Legal</v>
      </c>
      <c r="B44" s="1146">
        <f>'Development Costs'!I56</f>
        <v>0</v>
      </c>
      <c r="C44" s="685"/>
      <c r="D44" s="685"/>
      <c r="E44" s="1151">
        <f t="shared" si="0"/>
        <v>0</v>
      </c>
      <c r="F44" s="686"/>
      <c r="G44" s="686"/>
      <c r="L44" s="153"/>
    </row>
    <row r="45" spans="1:12">
      <c r="A45" s="1153" t="str">
        <f>'Development Costs'!C57</f>
        <v>Construction Lender - Reports/Inspections</v>
      </c>
      <c r="B45" s="1146">
        <f>'Development Costs'!I57</f>
        <v>0</v>
      </c>
      <c r="C45" s="685"/>
      <c r="D45" s="685"/>
      <c r="E45" s="1151">
        <f t="shared" si="0"/>
        <v>0</v>
      </c>
      <c r="F45" s="686"/>
      <c r="G45" s="686"/>
      <c r="L45" s="153"/>
    </row>
    <row r="46" spans="1:12">
      <c r="A46" s="1153" t="str">
        <f>'Development Costs'!C60</f>
        <v>Predevelopment Loan Fees</v>
      </c>
      <c r="B46" s="1146">
        <f>'Development Costs'!I60</f>
        <v>0</v>
      </c>
      <c r="C46" s="685"/>
      <c r="D46" s="685"/>
      <c r="E46" s="1151">
        <f t="shared" si="0"/>
        <v>0</v>
      </c>
      <c r="F46" s="686"/>
      <c r="G46" s="686"/>
      <c r="L46" s="153"/>
    </row>
    <row r="47" spans="1:12">
      <c r="A47" s="1153" t="str">
        <f>'Development Costs'!C64</f>
        <v>Perm. Loan Application Fees</v>
      </c>
      <c r="B47" s="1146" t="e">
        <f>'Development Costs'!I64</f>
        <v>#DIV/0!</v>
      </c>
      <c r="C47" s="685"/>
      <c r="D47" s="685"/>
      <c r="E47" s="1151">
        <f t="shared" si="0"/>
        <v>0</v>
      </c>
      <c r="F47" s="686"/>
      <c r="G47" s="686"/>
      <c r="L47" s="153"/>
    </row>
    <row r="48" spans="1:12">
      <c r="A48" s="1153" t="str">
        <f>'Development Costs'!C65</f>
        <v>Perm. Loan Origination Fee</v>
      </c>
      <c r="B48" s="1146" t="e">
        <f>'Development Costs'!I65</f>
        <v>#DIV/0!</v>
      </c>
      <c r="C48" s="685"/>
      <c r="D48" s="685"/>
      <c r="E48" s="1151">
        <f t="shared" si="0"/>
        <v>0</v>
      </c>
      <c r="F48" s="686"/>
      <c r="G48" s="686"/>
      <c r="L48" s="153"/>
    </row>
    <row r="49" spans="1:12">
      <c r="A49" s="1153" t="str">
        <f>'Development Costs'!C66</f>
        <v>Permanent Lender - Legal</v>
      </c>
      <c r="B49" s="1146">
        <f>'Development Costs'!I66</f>
        <v>0</v>
      </c>
      <c r="C49" s="685"/>
      <c r="D49" s="685"/>
      <c r="E49" s="1151">
        <f t="shared" si="0"/>
        <v>0</v>
      </c>
      <c r="F49" s="686"/>
      <c r="G49" s="686"/>
      <c r="L49" s="153"/>
    </row>
    <row r="50" spans="1:12">
      <c r="A50" s="1153" t="str">
        <f>'Development Costs'!C67</f>
        <v>Perm. Lender - Inspections</v>
      </c>
      <c r="B50" s="1146">
        <f>'Development Costs'!I67</f>
        <v>0</v>
      </c>
      <c r="C50" s="685"/>
      <c r="D50" s="685"/>
      <c r="E50" s="1151">
        <f t="shared" si="0"/>
        <v>0</v>
      </c>
      <c r="F50" s="686"/>
      <c r="G50" s="686"/>
      <c r="L50" s="153"/>
    </row>
    <row r="51" spans="1:12">
      <c r="A51" s="1153" t="str">
        <f>'Development Costs'!C68</f>
        <v>Third Party Lender Review Fees</v>
      </c>
      <c r="B51" s="1146">
        <f>'Development Costs'!I68</f>
        <v>0</v>
      </c>
      <c r="C51" s="685"/>
      <c r="D51" s="685"/>
      <c r="E51" s="1151">
        <f t="shared" si="0"/>
        <v>0</v>
      </c>
      <c r="F51" s="686"/>
      <c r="G51" s="686"/>
      <c r="L51" s="153"/>
    </row>
    <row r="52" spans="1:12">
      <c r="A52" s="1153" t="str">
        <f>'Development Costs'!C69</f>
        <v>Title &amp; Recording</v>
      </c>
      <c r="B52" s="1146">
        <f>'Development Costs'!I69</f>
        <v>0</v>
      </c>
      <c r="C52" s="685"/>
      <c r="D52" s="685"/>
      <c r="E52" s="1151">
        <f t="shared" si="0"/>
        <v>0</v>
      </c>
      <c r="F52" s="686"/>
      <c r="G52" s="686"/>
      <c r="L52" s="153"/>
    </row>
    <row r="53" spans="1:12">
      <c r="A53" s="1153" t="str">
        <f>'Development Costs'!C70</f>
        <v>Transfer Taxes</v>
      </c>
      <c r="B53" s="1146">
        <f>'Development Costs'!I70</f>
        <v>0</v>
      </c>
      <c r="C53" s="685"/>
      <c r="D53" s="685"/>
      <c r="E53" s="1151">
        <f t="shared" si="0"/>
        <v>0</v>
      </c>
      <c r="F53" s="686"/>
      <c r="G53" s="686"/>
      <c r="L53" s="153"/>
    </row>
    <row r="54" spans="1:12">
      <c r="A54" s="1153" t="str">
        <f>'Development Costs'!C71</f>
        <v>FHA Financing Fees (D4/223(f))</v>
      </c>
      <c r="B54" s="1146">
        <f>'Development Costs'!I71</f>
        <v>0</v>
      </c>
      <c r="C54" s="685"/>
      <c r="D54" s="685"/>
      <c r="E54" s="1151">
        <f t="shared" si="0"/>
        <v>0</v>
      </c>
      <c r="F54" s="686"/>
      <c r="G54" s="686"/>
      <c r="L54" s="153"/>
    </row>
    <row r="55" spans="1:12">
      <c r="A55" s="1153" t="str">
        <f>'Development Costs'!C72</f>
        <v>HUD Inspection Fee</v>
      </c>
      <c r="B55" s="1146" t="e">
        <f>'Development Costs'!I72</f>
        <v>#DIV/0!</v>
      </c>
      <c r="C55" s="685"/>
      <c r="D55" s="685"/>
      <c r="E55" s="1151">
        <f t="shared" si="0"/>
        <v>0</v>
      </c>
      <c r="F55" s="686"/>
      <c r="G55" s="686"/>
      <c r="L55" s="153"/>
    </row>
    <row r="56" spans="1:12">
      <c r="A56" s="1153" t="str">
        <f>'Development Costs'!C73</f>
        <v>Bond Issuance Cost</v>
      </c>
      <c r="B56" s="1146">
        <f>'Development Costs'!I73</f>
        <v>0</v>
      </c>
      <c r="C56" s="685"/>
      <c r="D56" s="685"/>
      <c r="E56" s="1151">
        <f t="shared" si="0"/>
        <v>0</v>
      </c>
      <c r="F56" s="686"/>
      <c r="G56" s="686"/>
      <c r="L56" s="153"/>
    </row>
    <row r="57" spans="1:12">
      <c r="A57" s="1153" t="str">
        <f>'Development Costs'!C74</f>
        <v>Bond Counsel - Legal</v>
      </c>
      <c r="B57" s="1146">
        <f>'Development Costs'!I74</f>
        <v>0</v>
      </c>
      <c r="C57" s="685"/>
      <c r="D57" s="685"/>
      <c r="E57" s="1151">
        <f t="shared" si="0"/>
        <v>0</v>
      </c>
      <c r="F57" s="686"/>
      <c r="G57" s="686"/>
      <c r="L57" s="153"/>
    </row>
    <row r="58" spans="1:12">
      <c r="A58" s="1153" t="str">
        <f>'Development Costs'!C75</f>
        <v>Other Perm. Financing Costs</v>
      </c>
      <c r="B58" s="1146">
        <f>'Development Costs'!I75</f>
        <v>0</v>
      </c>
      <c r="C58" s="685"/>
      <c r="D58" s="685"/>
      <c r="E58" s="1151">
        <f t="shared" si="0"/>
        <v>0</v>
      </c>
      <c r="F58" s="686"/>
      <c r="G58" s="686"/>
      <c r="L58" s="153"/>
    </row>
    <row r="59" spans="1:12">
      <c r="A59" s="1153" t="s">
        <v>18</v>
      </c>
      <c r="B59" s="1150"/>
      <c r="C59" s="685"/>
      <c r="D59" s="685"/>
      <c r="E59" s="1151">
        <f t="shared" si="0"/>
        <v>0</v>
      </c>
      <c r="F59" s="686"/>
      <c r="G59" s="686"/>
      <c r="L59" s="153"/>
    </row>
    <row r="60" spans="1:12">
      <c r="A60" s="1153" t="s">
        <v>18</v>
      </c>
      <c r="B60" s="1150"/>
      <c r="C60" s="685"/>
      <c r="D60" s="685"/>
      <c r="E60" s="1151">
        <f t="shared" si="0"/>
        <v>0</v>
      </c>
      <c r="F60" s="686"/>
      <c r="G60" s="686"/>
      <c r="L60" s="153"/>
    </row>
    <row r="61" spans="1:12">
      <c r="A61" s="796" t="s">
        <v>24</v>
      </c>
      <c r="B61" s="1146"/>
      <c r="C61" s="1146"/>
      <c r="D61" s="1146"/>
      <c r="E61" s="1151"/>
      <c r="F61" s="1147"/>
      <c r="G61" s="1147"/>
    </row>
    <row r="62" spans="1:12">
      <c r="A62" s="1153" t="s">
        <v>25</v>
      </c>
      <c r="B62" s="685"/>
      <c r="C62" s="685"/>
      <c r="D62" s="685"/>
      <c r="E62" s="1151">
        <f t="shared" si="0"/>
        <v>0</v>
      </c>
      <c r="F62" s="686"/>
      <c r="G62" s="686"/>
    </row>
    <row r="63" spans="1:12">
      <c r="A63" s="1153" t="s">
        <v>26</v>
      </c>
      <c r="B63" s="685"/>
      <c r="C63" s="685"/>
      <c r="D63" s="685"/>
      <c r="E63" s="1151">
        <f t="shared" si="0"/>
        <v>0</v>
      </c>
      <c r="F63" s="686"/>
      <c r="G63" s="686"/>
    </row>
    <row r="64" spans="1:12" ht="16.5" thickBot="1">
      <c r="A64" s="1153" t="s">
        <v>18</v>
      </c>
      <c r="B64" s="1150"/>
      <c r="C64" s="685"/>
      <c r="D64" s="685"/>
      <c r="E64" s="1151">
        <f t="shared" si="0"/>
        <v>0</v>
      </c>
      <c r="F64" s="686"/>
      <c r="G64" s="686"/>
    </row>
    <row r="65" spans="1:7" ht="16.5" hidden="1" thickBot="1">
      <c r="A65" s="1153"/>
      <c r="B65" s="1146"/>
      <c r="C65" s="1146"/>
      <c r="D65" s="1146"/>
      <c r="E65" s="1151">
        <f t="shared" ref="E65:E67" si="1">IF(C65=0,0,B65-C65)</f>
        <v>0</v>
      </c>
      <c r="F65" s="1147"/>
      <c r="G65" s="1147"/>
    </row>
    <row r="66" spans="1:7" ht="16.5" hidden="1" thickBot="1">
      <c r="A66" s="1153"/>
      <c r="B66" s="1146"/>
      <c r="C66" s="1146"/>
      <c r="D66" s="1146"/>
      <c r="E66" s="1151">
        <f t="shared" si="1"/>
        <v>0</v>
      </c>
      <c r="F66" s="1147"/>
      <c r="G66" s="1147"/>
    </row>
    <row r="67" spans="1:7" ht="16.5" hidden="1" thickBot="1">
      <c r="A67" s="1154"/>
      <c r="B67" s="1146"/>
      <c r="C67" s="1148"/>
      <c r="D67" s="1146"/>
      <c r="E67" s="1152">
        <f t="shared" si="1"/>
        <v>0</v>
      </c>
      <c r="F67" s="1149"/>
      <c r="G67" s="1147"/>
    </row>
    <row r="68" spans="1:7" ht="16.5" thickBot="1">
      <c r="A68" s="687" t="s">
        <v>27</v>
      </c>
      <c r="B68" s="688" t="e">
        <f>SUM(B5:B67)</f>
        <v>#DIV/0!</v>
      </c>
      <c r="C68" s="688">
        <f>SUM(C5:C67)</f>
        <v>0</v>
      </c>
      <c r="D68" s="688">
        <f>SUM(D5:D67)</f>
        <v>0</v>
      </c>
      <c r="E68" s="688">
        <f>SUM(E5:E67)</f>
        <v>0</v>
      </c>
      <c r="F68" s="689"/>
      <c r="G68" s="227"/>
    </row>
  </sheetData>
  <mergeCells count="2">
    <mergeCell ref="A1:G1"/>
    <mergeCell ref="A2:G2"/>
  </mergeCells>
  <conditionalFormatting sqref="E5:E68">
    <cfRule type="cellIs" dxfId="196" priority="13" operator="lessThan">
      <formula>0</formula>
    </cfRule>
    <cfRule type="cellIs" dxfId="195" priority="14" operator="greaterThan">
      <formula>0</formula>
    </cfRule>
  </conditionalFormatting>
  <dataValidations count="1">
    <dataValidation type="list" allowBlank="1" showInputMessage="1" showErrorMessage="1" sqref="D5:D67" xr:uid="{C7A946BE-7E70-47B7-AA09-75F502A1438F}">
      <formula1>"Yes, yes, No, no"</formula1>
    </dataValidation>
  </dataValidations>
  <pageMargins left="1.25" right="1" top="1" bottom="1" header="0.5" footer="0.5"/>
  <pageSetup scale="1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850C-F076-4FDA-A833-6EFC61EA639F}">
  <sheetPr>
    <tabColor rgb="FF002060"/>
    <pageSetUpPr fitToPage="1"/>
  </sheetPr>
  <dimension ref="A1:W64"/>
  <sheetViews>
    <sheetView zoomScale="90" zoomScaleNormal="90" workbookViewId="0">
      <selection activeCell="C7" sqref="C7"/>
    </sheetView>
  </sheetViews>
  <sheetFormatPr defaultColWidth="9.140625" defaultRowHeight="15.75"/>
  <cols>
    <col min="1" max="1" width="39.5703125" style="7" bestFit="1" customWidth="1"/>
    <col min="2" max="2" width="7.140625" style="7" customWidth="1"/>
    <col min="3" max="3" width="14.85546875" style="7" customWidth="1"/>
    <col min="4" max="4" width="10" style="7" customWidth="1"/>
    <col min="5" max="5" width="14.85546875" style="7" customWidth="1"/>
    <col min="6" max="6" width="19.140625" style="7" bestFit="1" customWidth="1"/>
    <col min="7" max="7" width="13.42578125" style="7" customWidth="1"/>
    <col min="8" max="9" width="13.85546875" style="7" customWidth="1"/>
    <col min="10" max="10" width="16.42578125" style="7" bestFit="1" customWidth="1"/>
    <col min="11" max="11" width="15.42578125" style="7" customWidth="1"/>
    <col min="12" max="21" width="9.140625" style="7"/>
    <col min="22" max="22" width="12" style="7" bestFit="1" customWidth="1"/>
    <col min="23" max="23" width="12.42578125" style="7" bestFit="1" customWidth="1"/>
    <col min="24" max="16384" width="9.140625" style="7"/>
  </cols>
  <sheetData>
    <row r="1" spans="1:23" ht="18.75">
      <c r="A1" s="1707" t="str">
        <f>UPPER('Input Page'!$F$32)</f>
        <v/>
      </c>
      <c r="B1" s="1707"/>
      <c r="C1" s="1707"/>
      <c r="D1" s="1707"/>
      <c r="E1" s="1707"/>
      <c r="F1" s="1707"/>
      <c r="G1" s="1707"/>
      <c r="H1" s="1707"/>
      <c r="I1" s="1707"/>
      <c r="J1" s="1707"/>
    </row>
    <row r="2" spans="1:23" ht="18.75">
      <c r="A2" s="1707" t="s">
        <v>667</v>
      </c>
      <c r="B2" s="1707"/>
      <c r="C2" s="1707"/>
      <c r="D2" s="1707"/>
      <c r="E2" s="1707"/>
      <c r="F2" s="1707"/>
      <c r="G2" s="1707"/>
      <c r="H2" s="1707"/>
      <c r="I2" s="1707"/>
      <c r="J2" s="1707"/>
    </row>
    <row r="3" spans="1:23" ht="18.75" customHeight="1">
      <c r="V3" s="500"/>
      <c r="W3" s="1000"/>
    </row>
    <row r="4" spans="1:23" ht="19.5" thickBot="1">
      <c r="A4" s="470"/>
      <c r="B4" s="470"/>
      <c r="C4" s="470"/>
      <c r="V4" s="500"/>
      <c r="W4" s="500"/>
    </row>
    <row r="5" spans="1:23" ht="16.5" thickBot="1">
      <c r="A5" s="1603" t="s">
        <v>317</v>
      </c>
      <c r="B5" s="1604"/>
      <c r="C5" s="1605"/>
      <c r="E5" s="1603" t="s">
        <v>668</v>
      </c>
      <c r="F5" s="1604"/>
      <c r="G5" s="1604"/>
      <c r="H5" s="1604"/>
      <c r="I5" s="1604"/>
      <c r="J5" s="1605"/>
    </row>
    <row r="6" spans="1:23">
      <c r="A6" s="135" t="s">
        <v>319</v>
      </c>
      <c r="C6" s="501">
        <f>'Income &amp; OpEx'!O40</f>
        <v>0</v>
      </c>
      <c r="E6" s="674" t="s">
        <v>320</v>
      </c>
      <c r="F6" s="719" t="e">
        <f>IF(C45&gt;0,C45,C41)</f>
        <v>#DIV/0!</v>
      </c>
      <c r="G6" s="1736">
        <f>'Input Page'!F122</f>
        <v>0</v>
      </c>
      <c r="H6" s="1737"/>
      <c r="I6" s="138"/>
      <c r="J6" s="222"/>
    </row>
    <row r="7" spans="1:23">
      <c r="A7" s="135" t="s">
        <v>321</v>
      </c>
      <c r="C7" s="558">
        <f>'Income &amp; OpEx'!O115</f>
        <v>34095</v>
      </c>
      <c r="E7" s="135" t="s">
        <v>267</v>
      </c>
      <c r="F7" s="547">
        <f>C29</f>
        <v>0</v>
      </c>
      <c r="J7" s="140"/>
    </row>
    <row r="8" spans="1:23">
      <c r="A8" s="135" t="s">
        <v>322</v>
      </c>
      <c r="C8" s="501">
        <f>C6-C7</f>
        <v>-34095</v>
      </c>
      <c r="E8" s="135" t="s">
        <v>323</v>
      </c>
      <c r="F8" s="485">
        <f>C25</f>
        <v>0</v>
      </c>
      <c r="J8" s="140"/>
    </row>
    <row r="9" spans="1:23">
      <c r="A9" s="135" t="s">
        <v>324</v>
      </c>
      <c r="C9" s="558">
        <f>'Income &amp; OpEx'!O234</f>
        <v>0</v>
      </c>
      <c r="E9" s="135" t="s">
        <v>325</v>
      </c>
      <c r="F9" s="485" t="e">
        <f>PMT(F7/12,F8*12,-F6)*12</f>
        <v>#DIV/0!</v>
      </c>
      <c r="J9" s="140"/>
    </row>
    <row r="10" spans="1:23" ht="16.5" thickBot="1">
      <c r="A10" s="135" t="s">
        <v>326</v>
      </c>
      <c r="C10" s="501">
        <f>'Income &amp; OpEx'!O236</f>
        <v>-34095</v>
      </c>
      <c r="E10" s="135"/>
      <c r="J10" s="140"/>
    </row>
    <row r="11" spans="1:23" ht="16.5" thickBot="1">
      <c r="A11" s="1603" t="s">
        <v>327</v>
      </c>
      <c r="B11" s="1604"/>
      <c r="C11" s="1605"/>
      <c r="E11" s="135"/>
      <c r="F11" s="1441" t="s">
        <v>328</v>
      </c>
      <c r="G11" s="1441" t="s">
        <v>325</v>
      </c>
      <c r="H11" s="1441" t="s">
        <v>329</v>
      </c>
      <c r="I11" s="1441" t="s">
        <v>330</v>
      </c>
      <c r="J11" s="1442" t="s">
        <v>331</v>
      </c>
    </row>
    <row r="12" spans="1:23">
      <c r="A12" s="135" t="s">
        <v>326</v>
      </c>
      <c r="C12" s="555">
        <f>C10</f>
        <v>-34095</v>
      </c>
      <c r="E12" s="1406">
        <v>1</v>
      </c>
      <c r="F12" s="500" t="e">
        <f>F6</f>
        <v>#DIV/0!</v>
      </c>
      <c r="G12" s="500" t="e">
        <f>F9</f>
        <v>#DIV/0!</v>
      </c>
      <c r="H12" s="500" t="e">
        <f>F12*$F$7</f>
        <v>#DIV/0!</v>
      </c>
      <c r="I12" s="500" t="e">
        <f>IF(E12="","",IF(AND('Input Page'!$F$143&gt;0)*OR('Input Page'!$F$143='LIHTC Debt'!E12,'Input Page'!$F$143&gt;'LIHTC Debt'!E12),0,G12-H12))</f>
        <v>#DIV/0!</v>
      </c>
      <c r="J12" s="563" t="e">
        <f>F12-I12</f>
        <v>#DIV/0!</v>
      </c>
    </row>
    <row r="13" spans="1:23">
      <c r="A13" s="135" t="s">
        <v>332</v>
      </c>
      <c r="C13" s="296"/>
      <c r="E13" s="1406" t="str">
        <f>IF($C$25&gt;E12,E12+1,"")</f>
        <v/>
      </c>
      <c r="F13" s="500" t="str">
        <f>IF(E13="","",J12)</f>
        <v/>
      </c>
      <c r="G13" s="500" t="str">
        <f>IF(E13="","",G12)</f>
        <v/>
      </c>
      <c r="H13" s="500" t="str">
        <f t="shared" ref="H13:H51" si="0">IF(E13="","",F13*$F$7)</f>
        <v/>
      </c>
      <c r="I13" s="500" t="str">
        <f>IF(E13="","",IF(AND('Input Page'!$F$143&gt;0)*OR('Input Page'!$F$143='LIHTC Debt'!E13,'Input Page'!$F$143&gt;'LIHTC Debt'!E13),0,G13-H13))</f>
        <v/>
      </c>
      <c r="J13" s="563" t="str">
        <f>IF(E13="","",F13-I13)</f>
        <v/>
      </c>
    </row>
    <row r="14" spans="1:23">
      <c r="A14" s="135" t="s">
        <v>333</v>
      </c>
      <c r="C14" s="555">
        <f>C12+C13</f>
        <v>-34095</v>
      </c>
      <c r="E14" s="1406" t="str">
        <f t="shared" ref="E14:E32" si="1">IF($C$25&gt;E13,E13+1,"")</f>
        <v/>
      </c>
      <c r="F14" s="500" t="str">
        <f t="shared" ref="F14:F64" si="2">IF(E14="","",J13)</f>
        <v/>
      </c>
      <c r="G14" s="500" t="str">
        <f t="shared" ref="G14:G64" si="3">IF(E14="","",G13)</f>
        <v/>
      </c>
      <c r="H14" s="500" t="str">
        <f t="shared" si="0"/>
        <v/>
      </c>
      <c r="I14" s="500" t="str">
        <f>IF(E14="","",IF(AND('Input Page'!$F$143&gt;0)*OR('Input Page'!$F$143='LIHTC Debt'!E14,'Input Page'!$F$143&gt;'LIHTC Debt'!E14),0,G14-H14))</f>
        <v/>
      </c>
      <c r="J14" s="563" t="str">
        <f t="shared" ref="J14:J64" si="4">IF(E14="","",F14-I14)</f>
        <v/>
      </c>
    </row>
    <row r="15" spans="1:23">
      <c r="A15" s="135" t="s">
        <v>334</v>
      </c>
      <c r="C15" s="561">
        <f>'Input Page'!F128</f>
        <v>0</v>
      </c>
      <c r="E15" s="1406" t="str">
        <f t="shared" si="1"/>
        <v/>
      </c>
      <c r="F15" s="500" t="str">
        <f t="shared" si="2"/>
        <v/>
      </c>
      <c r="G15" s="500" t="str">
        <f t="shared" si="3"/>
        <v/>
      </c>
      <c r="H15" s="500" t="str">
        <f t="shared" si="0"/>
        <v/>
      </c>
      <c r="I15" s="500" t="str">
        <f>IF(E15="","",IF(AND('Input Page'!$F$143&gt;0)*OR('Input Page'!$F$143='LIHTC Debt'!E15,'Input Page'!$F$143&gt;'LIHTC Debt'!E15),0,G15-H15))</f>
        <v/>
      </c>
      <c r="J15" s="563" t="str">
        <f t="shared" si="4"/>
        <v/>
      </c>
    </row>
    <row r="16" spans="1:23">
      <c r="A16" s="135" t="s">
        <v>335</v>
      </c>
      <c r="C16" s="555" t="e">
        <f>C14/C15</f>
        <v>#DIV/0!</v>
      </c>
      <c r="E16" s="1406" t="str">
        <f t="shared" si="1"/>
        <v/>
      </c>
      <c r="F16" s="500" t="str">
        <f t="shared" si="2"/>
        <v/>
      </c>
      <c r="G16" s="500" t="str">
        <f t="shared" si="3"/>
        <v/>
      </c>
      <c r="H16" s="500" t="str">
        <f t="shared" si="0"/>
        <v/>
      </c>
      <c r="I16" s="500" t="str">
        <f>IF(E16="","",IF(AND('Input Page'!$F$143&gt;0)*OR('Input Page'!$F$143='LIHTC Debt'!E16,'Input Page'!$F$143&gt;'LIHTC Debt'!E16),0,G16-H16))</f>
        <v/>
      </c>
      <c r="J16" s="563" t="str">
        <f t="shared" si="4"/>
        <v/>
      </c>
    </row>
    <row r="17" spans="1:10">
      <c r="A17" s="135" t="s">
        <v>336</v>
      </c>
      <c r="C17" s="562">
        <f>'Input Page'!F131</f>
        <v>0</v>
      </c>
      <c r="E17" s="1406" t="str">
        <f t="shared" si="1"/>
        <v/>
      </c>
      <c r="F17" s="500" t="str">
        <f t="shared" si="2"/>
        <v/>
      </c>
      <c r="G17" s="500" t="str">
        <f t="shared" si="3"/>
        <v/>
      </c>
      <c r="H17" s="500" t="str">
        <f t="shared" si="0"/>
        <v/>
      </c>
      <c r="I17" s="500" t="str">
        <f>IF(E17="","",IF(AND('Input Page'!$F$143&gt;0)*OR('Input Page'!$F$143='LIHTC Debt'!E17,'Input Page'!$F$143&gt;'LIHTC Debt'!E17),0,G17-H17))</f>
        <v/>
      </c>
      <c r="J17" s="563" t="str">
        <f t="shared" si="4"/>
        <v/>
      </c>
    </row>
    <row r="18" spans="1:10" ht="16.5" thickBot="1">
      <c r="A18" s="135" t="s">
        <v>669</v>
      </c>
      <c r="C18" s="555" t="e">
        <f>C16*C17</f>
        <v>#DIV/0!</v>
      </c>
      <c r="E18" s="1406" t="str">
        <f t="shared" si="1"/>
        <v/>
      </c>
      <c r="F18" s="500" t="str">
        <f t="shared" si="2"/>
        <v/>
      </c>
      <c r="G18" s="500" t="str">
        <f t="shared" si="3"/>
        <v/>
      </c>
      <c r="H18" s="500" t="str">
        <f t="shared" si="0"/>
        <v/>
      </c>
      <c r="I18" s="500" t="str">
        <f>IF(E18="","",IF(AND('Input Page'!$F$143&gt;0)*OR('Input Page'!$F$143='LIHTC Debt'!E18,'Input Page'!$F$143&gt;'LIHTC Debt'!E18),0,G18-H18))</f>
        <v/>
      </c>
      <c r="J18" s="563" t="str">
        <f t="shared" si="4"/>
        <v/>
      </c>
    </row>
    <row r="19" spans="1:10" ht="16.5" thickBot="1">
      <c r="A19" s="1603" t="s">
        <v>338</v>
      </c>
      <c r="B19" s="1604"/>
      <c r="C19" s="1605"/>
      <c r="E19" s="1406" t="str">
        <f t="shared" si="1"/>
        <v/>
      </c>
      <c r="F19" s="500" t="str">
        <f t="shared" si="2"/>
        <v/>
      </c>
      <c r="G19" s="500" t="str">
        <f t="shared" si="3"/>
        <v/>
      </c>
      <c r="H19" s="500" t="str">
        <f t="shared" si="0"/>
        <v/>
      </c>
      <c r="I19" s="500" t="str">
        <f>IF(E19="","",IF(AND('Input Page'!$F$143&gt;0)*OR('Input Page'!$F$143='LIHTC Debt'!E19,'Input Page'!$F$143&gt;'LIHTC Debt'!E19),0,G19-H19))</f>
        <v/>
      </c>
      <c r="J19" s="563" t="str">
        <f t="shared" si="4"/>
        <v/>
      </c>
    </row>
    <row r="20" spans="1:10">
      <c r="A20" s="135" t="s">
        <v>326</v>
      </c>
      <c r="C20" s="555">
        <f>C10</f>
        <v>-34095</v>
      </c>
      <c r="E20" s="1406" t="str">
        <f t="shared" si="1"/>
        <v/>
      </c>
      <c r="F20" s="500" t="str">
        <f t="shared" si="2"/>
        <v/>
      </c>
      <c r="G20" s="500" t="str">
        <f t="shared" si="3"/>
        <v/>
      </c>
      <c r="H20" s="500" t="str">
        <f t="shared" si="0"/>
        <v/>
      </c>
      <c r="I20" s="500" t="str">
        <f>IF(E20="","",IF(AND('Input Page'!$F$143&gt;0)*OR('Input Page'!$F$143='LIHTC Debt'!E20,'Input Page'!$F$143&gt;'LIHTC Debt'!E20),0,G20-H20))</f>
        <v/>
      </c>
      <c r="J20" s="563" t="str">
        <f t="shared" si="4"/>
        <v/>
      </c>
    </row>
    <row r="21" spans="1:10">
      <c r="A21" s="135" t="s">
        <v>339</v>
      </c>
      <c r="C21" s="555" t="e">
        <f>C20/C24</f>
        <v>#DIV/0!</v>
      </c>
      <c r="E21" s="1406" t="str">
        <f t="shared" si="1"/>
        <v/>
      </c>
      <c r="F21" s="500" t="str">
        <f t="shared" si="2"/>
        <v/>
      </c>
      <c r="G21" s="500" t="str">
        <f t="shared" si="3"/>
        <v/>
      </c>
      <c r="H21" s="500" t="str">
        <f t="shared" si="0"/>
        <v/>
      </c>
      <c r="I21" s="500" t="str">
        <f>IF(E21="","",IF(AND('Input Page'!$F$143&gt;0)*OR('Input Page'!$F$143='LIHTC Debt'!E21,'Input Page'!$F$143&gt;'LIHTC Debt'!E21),0,G21-H21))</f>
        <v/>
      </c>
      <c r="J21" s="563" t="str">
        <f t="shared" si="4"/>
        <v/>
      </c>
    </row>
    <row r="22" spans="1:10">
      <c r="A22" s="135" t="s">
        <v>340</v>
      </c>
      <c r="C22" s="555" t="e">
        <f>C20-C21</f>
        <v>#DIV/0!</v>
      </c>
      <c r="E22" s="1406" t="str">
        <f t="shared" si="1"/>
        <v/>
      </c>
      <c r="F22" s="500" t="str">
        <f t="shared" si="2"/>
        <v/>
      </c>
      <c r="G22" s="500" t="str">
        <f t="shared" si="3"/>
        <v/>
      </c>
      <c r="H22" s="500" t="str">
        <f t="shared" si="0"/>
        <v/>
      </c>
      <c r="I22" s="500" t="str">
        <f>IF(E22="","",IF(AND('Input Page'!$F$143&gt;0)*OR('Input Page'!$F$143='LIHTC Debt'!E22,'Input Page'!$F$143&gt;'LIHTC Debt'!E22),0,G22-H22))</f>
        <v/>
      </c>
      <c r="J22" s="563" t="str">
        <f t="shared" si="4"/>
        <v/>
      </c>
    </row>
    <row r="23" spans="1:10">
      <c r="A23" s="135"/>
      <c r="C23" s="555"/>
      <c r="E23" s="1406" t="str">
        <f t="shared" si="1"/>
        <v/>
      </c>
      <c r="F23" s="500" t="str">
        <f t="shared" si="2"/>
        <v/>
      </c>
      <c r="G23" s="500" t="str">
        <f t="shared" si="3"/>
        <v/>
      </c>
      <c r="H23" s="500" t="str">
        <f t="shared" si="0"/>
        <v/>
      </c>
      <c r="I23" s="500" t="str">
        <f>IF(E23="","",IF(AND('Input Page'!$F$143&gt;0)*OR('Input Page'!$F$143='LIHTC Debt'!E23,'Input Page'!$F$143&gt;'LIHTC Debt'!E23),0,G23-H23))</f>
        <v/>
      </c>
      <c r="J23" s="563" t="str">
        <f t="shared" si="4"/>
        <v/>
      </c>
    </row>
    <row r="24" spans="1:10">
      <c r="A24" s="135" t="s">
        <v>341</v>
      </c>
      <c r="C24" s="631">
        <f>'Input Page'!F134</f>
        <v>0</v>
      </c>
      <c r="E24" s="1406" t="str">
        <f t="shared" si="1"/>
        <v/>
      </c>
      <c r="F24" s="500" t="str">
        <f t="shared" si="2"/>
        <v/>
      </c>
      <c r="G24" s="500" t="str">
        <f t="shared" si="3"/>
        <v/>
      </c>
      <c r="H24" s="500" t="str">
        <f t="shared" si="0"/>
        <v/>
      </c>
      <c r="I24" s="500" t="str">
        <f>IF(E24="","",IF(AND('Input Page'!$F$143&gt;0)*OR('Input Page'!$F$143='LIHTC Debt'!E24,'Input Page'!$F$143&gt;'LIHTC Debt'!E24),0,G24-H24))</f>
        <v/>
      </c>
      <c r="J24" s="563" t="str">
        <f t="shared" si="4"/>
        <v/>
      </c>
    </row>
    <row r="25" spans="1:10">
      <c r="A25" s="135" t="s">
        <v>342</v>
      </c>
      <c r="C25" s="555">
        <f>'Input Page'!F135</f>
        <v>0</v>
      </c>
      <c r="E25" s="1406" t="str">
        <f t="shared" si="1"/>
        <v/>
      </c>
      <c r="F25" s="500" t="str">
        <f t="shared" si="2"/>
        <v/>
      </c>
      <c r="G25" s="500" t="str">
        <f t="shared" si="3"/>
        <v/>
      </c>
      <c r="H25" s="500" t="str">
        <f t="shared" si="0"/>
        <v/>
      </c>
      <c r="I25" s="500" t="str">
        <f>IF(E25="","",IF(AND('Input Page'!$F$143&gt;0)*OR('Input Page'!$F$143='LIHTC Debt'!E25,'Input Page'!$F$143&gt;'LIHTC Debt'!E25),0,G25-H25))</f>
        <v/>
      </c>
      <c r="J25" s="563" t="str">
        <f t="shared" si="4"/>
        <v/>
      </c>
    </row>
    <row r="26" spans="1:10">
      <c r="A26" s="135"/>
      <c r="C26" s="140"/>
      <c r="E26" s="1406" t="str">
        <f t="shared" si="1"/>
        <v/>
      </c>
      <c r="F26" s="500" t="str">
        <f t="shared" si="2"/>
        <v/>
      </c>
      <c r="G26" s="500" t="str">
        <f t="shared" si="3"/>
        <v/>
      </c>
      <c r="H26" s="500" t="str">
        <f t="shared" si="0"/>
        <v/>
      </c>
      <c r="I26" s="500" t="str">
        <f>IF(E26="","",IF(AND('Input Page'!$F$143&gt;0)*OR('Input Page'!$F$143='LIHTC Debt'!E26,'Input Page'!$F$143&gt;'LIHTC Debt'!E26),0,G26-H26))</f>
        <v/>
      </c>
      <c r="J26" s="563" t="str">
        <f t="shared" si="4"/>
        <v/>
      </c>
    </row>
    <row r="27" spans="1:10">
      <c r="A27" s="135" t="s">
        <v>267</v>
      </c>
      <c r="C27" s="559">
        <f>'Input Page'!F136</f>
        <v>0</v>
      </c>
      <c r="E27" s="1406" t="str">
        <f t="shared" si="1"/>
        <v/>
      </c>
      <c r="F27" s="500" t="str">
        <f t="shared" si="2"/>
        <v/>
      </c>
      <c r="G27" s="500" t="str">
        <f t="shared" si="3"/>
        <v/>
      </c>
      <c r="H27" s="500" t="str">
        <f t="shared" si="0"/>
        <v/>
      </c>
      <c r="I27" s="500" t="str">
        <f>IF(E27="","",IF(AND('Input Page'!$F$143&gt;0)*OR('Input Page'!$F$143='LIHTC Debt'!E27,'Input Page'!$F$143&gt;'LIHTC Debt'!E27),0,G27-H27))</f>
        <v/>
      </c>
      <c r="J27" s="563" t="str">
        <f t="shared" si="4"/>
        <v/>
      </c>
    </row>
    <row r="28" spans="1:10">
      <c r="A28" s="135" t="s">
        <v>343</v>
      </c>
      <c r="C28" s="559">
        <f>IF('Input Page'!F137="Yes",0.25%,0)</f>
        <v>0</v>
      </c>
      <c r="E28" s="1406" t="str">
        <f t="shared" si="1"/>
        <v/>
      </c>
      <c r="F28" s="500" t="str">
        <f t="shared" si="2"/>
        <v/>
      </c>
      <c r="G28" s="500" t="str">
        <f t="shared" si="3"/>
        <v/>
      </c>
      <c r="H28" s="500" t="str">
        <f t="shared" si="0"/>
        <v/>
      </c>
      <c r="I28" s="500" t="str">
        <f>IF(E28="","",IF(AND('Input Page'!$F$143&gt;0)*OR('Input Page'!$F$143='LIHTC Debt'!E28,'Input Page'!$F$143&gt;'LIHTC Debt'!E28),0,G28-H28))</f>
        <v/>
      </c>
      <c r="J28" s="563" t="str">
        <f t="shared" si="4"/>
        <v/>
      </c>
    </row>
    <row r="29" spans="1:10" ht="16.5" thickBot="1">
      <c r="A29" s="135" t="s">
        <v>344</v>
      </c>
      <c r="C29" s="560">
        <f>SUM(C27:C28)</f>
        <v>0</v>
      </c>
      <c r="E29" s="1406" t="str">
        <f t="shared" si="1"/>
        <v/>
      </c>
      <c r="F29" s="500" t="str">
        <f t="shared" si="2"/>
        <v/>
      </c>
      <c r="G29" s="500" t="str">
        <f t="shared" si="3"/>
        <v/>
      </c>
      <c r="H29" s="500" t="str">
        <f t="shared" si="0"/>
        <v/>
      </c>
      <c r="I29" s="500" t="str">
        <f>IF(E29="","",IF(AND('Input Page'!$F$143&gt;0)*OR('Input Page'!$F$143='LIHTC Debt'!E29,'Input Page'!$F$143&gt;'LIHTC Debt'!E29),0,G29-H29))</f>
        <v/>
      </c>
      <c r="J29" s="563" t="str">
        <f t="shared" si="4"/>
        <v/>
      </c>
    </row>
    <row r="30" spans="1:10" ht="16.5" thickTop="1">
      <c r="A30" s="135"/>
      <c r="C30" s="140"/>
      <c r="E30" s="1406" t="str">
        <f t="shared" si="1"/>
        <v/>
      </c>
      <c r="F30" s="500" t="str">
        <f t="shared" si="2"/>
        <v/>
      </c>
      <c r="G30" s="500" t="str">
        <f t="shared" si="3"/>
        <v/>
      </c>
      <c r="H30" s="500" t="str">
        <f t="shared" si="0"/>
        <v/>
      </c>
      <c r="I30" s="500" t="str">
        <f>IF(E30="","",IF(AND('Input Page'!$F$143&gt;0)*OR('Input Page'!$F$143='LIHTC Debt'!E30,'Input Page'!$F$143&gt;'LIHTC Debt'!E30),0,G30-H30))</f>
        <v/>
      </c>
      <c r="J30" s="563" t="str">
        <f t="shared" si="4"/>
        <v/>
      </c>
    </row>
    <row r="31" spans="1:10" ht="16.5" thickBot="1">
      <c r="A31" s="135" t="s">
        <v>345</v>
      </c>
      <c r="C31" s="555" t="e">
        <f>IF(OR('Input Page'!$F$122="HUD 221 (D)(4)",'Input Page'!$F$122="HUD 223(f)"),(C20/C24)/(PMT(C27/12,C25*12,-1)*12+0.0025),PV(C29/12,C25*12,-C20/C24)/12)</f>
        <v>#DIV/0!</v>
      </c>
      <c r="E31" s="1406" t="str">
        <f t="shared" si="1"/>
        <v/>
      </c>
      <c r="F31" s="500" t="str">
        <f t="shared" si="2"/>
        <v/>
      </c>
      <c r="G31" s="500" t="str">
        <f t="shared" si="3"/>
        <v/>
      </c>
      <c r="H31" s="500" t="str">
        <f t="shared" si="0"/>
        <v/>
      </c>
      <c r="I31" s="500" t="str">
        <f>IF(E31="","",IF(AND('Input Page'!$F$143&gt;0)*OR('Input Page'!$F$143='LIHTC Debt'!E31,'Input Page'!$F$143&gt;'LIHTC Debt'!E31),0,G31-H31))</f>
        <v/>
      </c>
      <c r="J31" s="563" t="str">
        <f t="shared" si="4"/>
        <v/>
      </c>
    </row>
    <row r="32" spans="1:10" ht="16.5" thickBot="1">
      <c r="A32" s="1603" t="s">
        <v>670</v>
      </c>
      <c r="B32" s="1604"/>
      <c r="C32" s="1605"/>
      <c r="E32" s="1406" t="str">
        <f t="shared" si="1"/>
        <v/>
      </c>
      <c r="F32" s="500" t="str">
        <f t="shared" si="2"/>
        <v/>
      </c>
      <c r="G32" s="500" t="str">
        <f t="shared" si="3"/>
        <v/>
      </c>
      <c r="H32" s="500" t="str">
        <f t="shared" si="0"/>
        <v/>
      </c>
      <c r="I32" s="500" t="str">
        <f>IF(E32="","",IF(AND('Input Page'!$F$143&gt;0)*OR('Input Page'!$F$143='LIHTC Debt'!E32,'Input Page'!$F$143&gt;'LIHTC Debt'!E32),0,G32-H32))</f>
        <v/>
      </c>
      <c r="J32" s="563" t="str">
        <f t="shared" si="4"/>
        <v/>
      </c>
    </row>
    <row r="33" spans="1:10">
      <c r="A33" s="135" t="s">
        <v>671</v>
      </c>
      <c r="C33" s="1059"/>
      <c r="D33" s="1002" t="e">
        <f>'Development Costs'!$AD$112</f>
        <v>#DIV/0!</v>
      </c>
      <c r="E33" s="1406" t="str">
        <f t="shared" ref="E33:E51" si="5">IF($C$25&gt;E32,E32+1,"")</f>
        <v/>
      </c>
      <c r="F33" s="500" t="str">
        <f t="shared" ref="F33:F51" si="6">IF(E33="","",J32)</f>
        <v/>
      </c>
      <c r="G33" s="500" t="str">
        <f t="shared" ref="G33:G51" si="7">IF(E33="","",G32)</f>
        <v/>
      </c>
      <c r="H33" s="500" t="str">
        <f t="shared" si="0"/>
        <v/>
      </c>
      <c r="I33" s="500" t="str">
        <f>IF(E33="","",IF(AND('Input Page'!$F$143&gt;0)*OR('Input Page'!$F$143='LIHTC Debt'!E33,'Input Page'!$F$143&gt;'LIHTC Debt'!E33),0,G33-H33))</f>
        <v/>
      </c>
      <c r="J33" s="563" t="str">
        <f t="shared" ref="J33:J51" si="8">IF(E33="","",F33-I33)</f>
        <v/>
      </c>
    </row>
    <row r="34" spans="1:10">
      <c r="A34" s="135" t="s">
        <v>672</v>
      </c>
      <c r="C34" s="554">
        <f>'Input Page'!F140</f>
        <v>0</v>
      </c>
      <c r="E34" s="1406" t="str">
        <f t="shared" si="5"/>
        <v/>
      </c>
      <c r="F34" s="500" t="str">
        <f t="shared" si="6"/>
        <v/>
      </c>
      <c r="G34" s="500" t="str">
        <f t="shared" si="7"/>
        <v/>
      </c>
      <c r="H34" s="500" t="str">
        <f t="shared" si="0"/>
        <v/>
      </c>
      <c r="I34" s="500" t="str">
        <f>IF(E34="","",IF(AND('Input Page'!$F$143&gt;0)*OR('Input Page'!$F$143='LIHTC Debt'!E34,'Input Page'!$F$143&gt;'LIHTC Debt'!E34),0,G34-H34))</f>
        <v/>
      </c>
      <c r="J34" s="563" t="str">
        <f t="shared" si="8"/>
        <v/>
      </c>
    </row>
    <row r="35" spans="1:10">
      <c r="A35" s="135" t="s">
        <v>673</v>
      </c>
      <c r="C35" s="555">
        <f>C34*C33</f>
        <v>0</v>
      </c>
      <c r="D35" s="1002"/>
      <c r="E35" s="1406" t="str">
        <f t="shared" si="5"/>
        <v/>
      </c>
      <c r="F35" s="500" t="str">
        <f t="shared" si="6"/>
        <v/>
      </c>
      <c r="G35" s="500" t="str">
        <f t="shared" si="7"/>
        <v/>
      </c>
      <c r="H35" s="500" t="str">
        <f t="shared" si="0"/>
        <v/>
      </c>
      <c r="I35" s="500" t="str">
        <f>IF(E35="","",IF(AND('Input Page'!$F$143&gt;0)*OR('Input Page'!$F$143='LIHTC Debt'!E35,'Input Page'!$F$143&gt;'LIHTC Debt'!E35),0,G35-H35))</f>
        <v/>
      </c>
      <c r="J35" s="563" t="str">
        <f t="shared" si="8"/>
        <v/>
      </c>
    </row>
    <row r="36" spans="1:10" ht="16.5" thickBot="1">
      <c r="A36" s="135"/>
      <c r="C36" s="169"/>
      <c r="E36" s="1406" t="str">
        <f t="shared" si="5"/>
        <v/>
      </c>
      <c r="F36" s="500" t="str">
        <f t="shared" si="6"/>
        <v/>
      </c>
      <c r="G36" s="500" t="str">
        <f t="shared" si="7"/>
        <v/>
      </c>
      <c r="H36" s="500" t="str">
        <f t="shared" si="0"/>
        <v/>
      </c>
      <c r="I36" s="500" t="str">
        <f>IF(E36="","",IF(AND('Input Page'!$F$143&gt;0)*OR('Input Page'!$F$143='LIHTC Debt'!E36,'Input Page'!$F$143&gt;'LIHTC Debt'!E36),0,G36-H36))</f>
        <v/>
      </c>
      <c r="J36" s="563" t="str">
        <f t="shared" si="8"/>
        <v/>
      </c>
    </row>
    <row r="37" spans="1:10" ht="16.5" thickBot="1">
      <c r="A37" s="1603" t="s">
        <v>346</v>
      </c>
      <c r="B37" s="1604"/>
      <c r="C37" s="1605"/>
      <c r="E37" s="1406" t="str">
        <f t="shared" si="5"/>
        <v/>
      </c>
      <c r="F37" s="500" t="str">
        <f t="shared" si="6"/>
        <v/>
      </c>
      <c r="G37" s="500" t="str">
        <f t="shared" si="7"/>
        <v/>
      </c>
      <c r="H37" s="500" t="str">
        <f t="shared" si="0"/>
        <v/>
      </c>
      <c r="I37" s="500" t="str">
        <f>IF(E37="","",IF(AND('Input Page'!$F$143&gt;0)*OR('Input Page'!$F$143='LIHTC Debt'!E37,'Input Page'!$F$143&gt;'LIHTC Debt'!E37),0,G37-H37))</f>
        <v/>
      </c>
      <c r="J37" s="563" t="str">
        <f t="shared" si="8"/>
        <v/>
      </c>
    </row>
    <row r="38" spans="1:10">
      <c r="A38" s="674" t="s">
        <v>674</v>
      </c>
      <c r="B38" s="138"/>
      <c r="C38" s="1001" t="e">
        <f>ROUND(C18,-4)</f>
        <v>#DIV/0!</v>
      </c>
      <c r="E38" s="1406" t="str">
        <f t="shared" si="5"/>
        <v/>
      </c>
      <c r="F38" s="500" t="str">
        <f t="shared" si="6"/>
        <v/>
      </c>
      <c r="G38" s="500" t="str">
        <f t="shared" si="7"/>
        <v/>
      </c>
      <c r="H38" s="500" t="str">
        <f t="shared" si="0"/>
        <v/>
      </c>
      <c r="I38" s="500" t="str">
        <f>IF(E38="","",IF(AND('Input Page'!$F$143&gt;0)*OR('Input Page'!$F$143='LIHTC Debt'!E38,'Input Page'!$F$143&gt;'LIHTC Debt'!E38),0,G38-H38))</f>
        <v/>
      </c>
      <c r="J38" s="563" t="str">
        <f t="shared" si="8"/>
        <v/>
      </c>
    </row>
    <row r="39" spans="1:10">
      <c r="A39" s="135" t="s">
        <v>675</v>
      </c>
      <c r="C39" s="555" t="e">
        <f>ROUND(C31,-4)</f>
        <v>#DIV/0!</v>
      </c>
      <c r="E39" s="1406" t="str">
        <f t="shared" si="5"/>
        <v/>
      </c>
      <c r="F39" s="500" t="str">
        <f t="shared" si="6"/>
        <v/>
      </c>
      <c r="G39" s="500" t="str">
        <f t="shared" si="7"/>
        <v/>
      </c>
      <c r="H39" s="500" t="str">
        <f t="shared" si="0"/>
        <v/>
      </c>
      <c r="I39" s="500" t="str">
        <f>IF(E39="","",IF(AND('Input Page'!$F$143&gt;0)*OR('Input Page'!$F$143='LIHTC Debt'!E39,'Input Page'!$F$143&gt;'LIHTC Debt'!E39),0,G39-H39))</f>
        <v/>
      </c>
      <c r="J39" s="563" t="str">
        <f t="shared" si="8"/>
        <v/>
      </c>
    </row>
    <row r="40" spans="1:10">
      <c r="A40" s="135" t="s">
        <v>676</v>
      </c>
      <c r="C40" s="555">
        <f>ROUND(C35,-4)</f>
        <v>0</v>
      </c>
      <c r="E40" s="1406" t="str">
        <f t="shared" si="5"/>
        <v/>
      </c>
      <c r="F40" s="500" t="str">
        <f t="shared" si="6"/>
        <v/>
      </c>
      <c r="G40" s="500" t="str">
        <f t="shared" si="7"/>
        <v/>
      </c>
      <c r="H40" s="500" t="str">
        <f t="shared" si="0"/>
        <v/>
      </c>
      <c r="I40" s="500" t="str">
        <f>IF(E40="","",IF(AND('Input Page'!$F$143&gt;0)*OR('Input Page'!$F$143='LIHTC Debt'!E40,'Input Page'!$F$143&gt;'LIHTC Debt'!E40),0,G40-H40))</f>
        <v/>
      </c>
      <c r="J40" s="563" t="str">
        <f t="shared" si="8"/>
        <v/>
      </c>
    </row>
    <row r="41" spans="1:10" ht="16.5" thickBot="1">
      <c r="A41" s="1230" t="s">
        <v>349</v>
      </c>
      <c r="B41" s="1231"/>
      <c r="C41" s="1232" t="e">
        <f>IF('Input Page'!$F$122="HUD 221 (D)(4)",MIN('LIHTC Debt'!C39,'LIHTC Debt'!C40),MIN('LIHTC Debt'!C38,'LIHTC Debt'!C39))</f>
        <v>#DIV/0!</v>
      </c>
      <c r="E41" s="1406" t="str">
        <f t="shared" si="5"/>
        <v/>
      </c>
      <c r="F41" s="500" t="str">
        <f t="shared" si="6"/>
        <v/>
      </c>
      <c r="G41" s="500" t="str">
        <f t="shared" si="7"/>
        <v/>
      </c>
      <c r="H41" s="500" t="str">
        <f t="shared" si="0"/>
        <v/>
      </c>
      <c r="I41" s="500" t="str">
        <f>IF(E41="","",IF(AND('Input Page'!$F$143&gt;0)*OR('Input Page'!$F$143='LIHTC Debt'!E41,'Input Page'!$F$143&gt;'LIHTC Debt'!E41),0,G41-H41))</f>
        <v/>
      </c>
      <c r="J41" s="563" t="str">
        <f t="shared" si="8"/>
        <v/>
      </c>
    </row>
    <row r="42" spans="1:10" ht="16.5" thickBot="1">
      <c r="A42" s="136" t="s">
        <v>350</v>
      </c>
      <c r="B42" s="557">
        <f>'Input Page'!F143</f>
        <v>0</v>
      </c>
      <c r="C42" s="556">
        <f>IF(B42&gt;0,(B42/12)*C41*C27,0)</f>
        <v>0</v>
      </c>
      <c r="E42" s="1406" t="str">
        <f t="shared" si="5"/>
        <v/>
      </c>
      <c r="F42" s="500" t="str">
        <f t="shared" si="6"/>
        <v/>
      </c>
      <c r="G42" s="500" t="str">
        <f t="shared" si="7"/>
        <v/>
      </c>
      <c r="H42" s="500" t="str">
        <f t="shared" si="0"/>
        <v/>
      </c>
      <c r="I42" s="500" t="str">
        <f>IF(E42="","",IF(AND('Input Page'!$F$143&gt;0)*OR('Input Page'!$F$143='LIHTC Debt'!E42,'Input Page'!$F$143&gt;'LIHTC Debt'!E42),0,G42-H42))</f>
        <v/>
      </c>
      <c r="J42" s="563" t="str">
        <f t="shared" si="8"/>
        <v/>
      </c>
    </row>
    <row r="43" spans="1:10">
      <c r="E43" s="1406" t="str">
        <f t="shared" si="5"/>
        <v/>
      </c>
      <c r="F43" s="500" t="str">
        <f t="shared" si="6"/>
        <v/>
      </c>
      <c r="G43" s="500" t="str">
        <f t="shared" si="7"/>
        <v/>
      </c>
      <c r="H43" s="500" t="str">
        <f t="shared" si="0"/>
        <v/>
      </c>
      <c r="I43" s="500" t="str">
        <f>IF(E43="","",IF(AND('Input Page'!$F$143&gt;0)*OR('Input Page'!$F$143='LIHTC Debt'!E43,'Input Page'!$F$143&gt;'LIHTC Debt'!E43),0,G43-H43))</f>
        <v/>
      </c>
      <c r="J43" s="563" t="str">
        <f t="shared" si="8"/>
        <v/>
      </c>
    </row>
    <row r="44" spans="1:10">
      <c r="E44" s="1406" t="str">
        <f t="shared" si="5"/>
        <v/>
      </c>
      <c r="F44" s="500" t="str">
        <f t="shared" si="6"/>
        <v/>
      </c>
      <c r="G44" s="500" t="str">
        <f t="shared" si="7"/>
        <v/>
      </c>
      <c r="H44" s="500" t="str">
        <f t="shared" si="0"/>
        <v/>
      </c>
      <c r="I44" s="500" t="str">
        <f>IF(E44="","",IF(AND('Input Page'!$F$143&gt;0)*OR('Input Page'!$F$143='LIHTC Debt'!E44,'Input Page'!$F$143&gt;'LIHTC Debt'!E44),0,G44-H44))</f>
        <v/>
      </c>
      <c r="J44" s="563" t="str">
        <f t="shared" si="8"/>
        <v/>
      </c>
    </row>
    <row r="45" spans="1:10">
      <c r="A45" s="1060" t="s">
        <v>677</v>
      </c>
      <c r="C45" s="1429">
        <v>0</v>
      </c>
      <c r="E45" s="1406" t="str">
        <f t="shared" si="5"/>
        <v/>
      </c>
      <c r="F45" s="500" t="str">
        <f t="shared" si="6"/>
        <v/>
      </c>
      <c r="G45" s="500" t="str">
        <f t="shared" si="7"/>
        <v/>
      </c>
      <c r="H45" s="500" t="str">
        <f t="shared" si="0"/>
        <v/>
      </c>
      <c r="I45" s="500" t="str">
        <f>IF(E45="","",IF(AND('Input Page'!$F$143&gt;0)*OR('Input Page'!$F$143='LIHTC Debt'!E45,'Input Page'!$F$143&gt;'LIHTC Debt'!E45),0,G45-H45))</f>
        <v/>
      </c>
      <c r="J45" s="563" t="str">
        <f t="shared" si="8"/>
        <v/>
      </c>
    </row>
    <row r="46" spans="1:10">
      <c r="A46" s="24" t="s">
        <v>678</v>
      </c>
      <c r="B46" s="691"/>
      <c r="E46" s="1406" t="str">
        <f t="shared" si="5"/>
        <v/>
      </c>
      <c r="F46" s="500" t="str">
        <f t="shared" si="6"/>
        <v/>
      </c>
      <c r="G46" s="500" t="str">
        <f t="shared" si="7"/>
        <v/>
      </c>
      <c r="H46" s="500" t="str">
        <f t="shared" si="0"/>
        <v/>
      </c>
      <c r="I46" s="500" t="str">
        <f>IF(E46="","",IF(AND('Input Page'!$F$143&gt;0)*OR('Input Page'!$F$143='LIHTC Debt'!E46,'Input Page'!$F$143&gt;'LIHTC Debt'!E46),0,G46-H46))</f>
        <v/>
      </c>
      <c r="J46" s="563" t="str">
        <f t="shared" si="8"/>
        <v/>
      </c>
    </row>
    <row r="47" spans="1:10">
      <c r="E47" s="1406" t="str">
        <f t="shared" si="5"/>
        <v/>
      </c>
      <c r="F47" s="500" t="str">
        <f t="shared" si="6"/>
        <v/>
      </c>
      <c r="G47" s="500" t="str">
        <f t="shared" si="7"/>
        <v/>
      </c>
      <c r="H47" s="500" t="str">
        <f t="shared" si="0"/>
        <v/>
      </c>
      <c r="I47" s="500" t="str">
        <f>IF(E47="","",IF(AND('Input Page'!$F$143&gt;0)*OR('Input Page'!$F$143='LIHTC Debt'!E47,'Input Page'!$F$143&gt;'LIHTC Debt'!E47),0,G47-H47))</f>
        <v/>
      </c>
      <c r="J47" s="563" t="str">
        <f t="shared" si="8"/>
        <v/>
      </c>
    </row>
    <row r="48" spans="1:10">
      <c r="E48" s="1406" t="str">
        <f t="shared" si="5"/>
        <v/>
      </c>
      <c r="F48" s="500" t="str">
        <f t="shared" si="6"/>
        <v/>
      </c>
      <c r="G48" s="500" t="str">
        <f t="shared" si="7"/>
        <v/>
      </c>
      <c r="H48" s="500" t="str">
        <f t="shared" si="0"/>
        <v/>
      </c>
      <c r="I48" s="500" t="str">
        <f>IF(E48="","",IF(AND('Input Page'!$F$143&gt;0)*OR('Input Page'!$F$143='LIHTC Debt'!E48,'Input Page'!$F$143&gt;'LIHTC Debt'!E48),0,G48-H48))</f>
        <v/>
      </c>
      <c r="J48" s="563" t="str">
        <f t="shared" si="8"/>
        <v/>
      </c>
    </row>
    <row r="49" spans="3:10">
      <c r="C49" s="229"/>
      <c r="E49" s="1406" t="str">
        <f t="shared" si="5"/>
        <v/>
      </c>
      <c r="F49" s="500" t="str">
        <f t="shared" si="6"/>
        <v/>
      </c>
      <c r="G49" s="500" t="str">
        <f t="shared" si="7"/>
        <v/>
      </c>
      <c r="H49" s="500" t="str">
        <f t="shared" si="0"/>
        <v/>
      </c>
      <c r="I49" s="500" t="str">
        <f>IF(E49="","",IF(AND('Input Page'!$F$143&gt;0)*OR('Input Page'!$F$143='LIHTC Debt'!E49,'Input Page'!$F$143&gt;'LIHTC Debt'!E49),0,G49-H49))</f>
        <v/>
      </c>
      <c r="J49" s="563" t="str">
        <f t="shared" si="8"/>
        <v/>
      </c>
    </row>
    <row r="50" spans="3:10">
      <c r="E50" s="1406" t="str">
        <f t="shared" si="5"/>
        <v/>
      </c>
      <c r="F50" s="500" t="str">
        <f t="shared" si="6"/>
        <v/>
      </c>
      <c r="G50" s="500" t="str">
        <f t="shared" si="7"/>
        <v/>
      </c>
      <c r="H50" s="500" t="str">
        <f t="shared" si="0"/>
        <v/>
      </c>
      <c r="I50" s="500" t="str">
        <f>IF(E50="","",IF(AND('Input Page'!$F$143&gt;0)*OR('Input Page'!$F$143='LIHTC Debt'!E50,'Input Page'!$F$143&gt;'LIHTC Debt'!E50),0,G50-H50))</f>
        <v/>
      </c>
      <c r="J50" s="563" t="str">
        <f t="shared" si="8"/>
        <v/>
      </c>
    </row>
    <row r="51" spans="3:10">
      <c r="E51" s="1406" t="str">
        <f t="shared" si="5"/>
        <v/>
      </c>
      <c r="F51" s="500" t="str">
        <f t="shared" si="6"/>
        <v/>
      </c>
      <c r="G51" s="500" t="str">
        <f t="shared" si="7"/>
        <v/>
      </c>
      <c r="H51" s="500" t="str">
        <f t="shared" si="0"/>
        <v/>
      </c>
      <c r="I51" s="500" t="str">
        <f>IF(E51="","",IF(AND('Input Page'!$F$143&gt;0)*OR('Input Page'!$F$143='LIHTC Debt'!E51,'Input Page'!$F$143&gt;'LIHTC Debt'!E51),0,G51-H51))</f>
        <v/>
      </c>
      <c r="J51" s="563" t="str">
        <f t="shared" si="8"/>
        <v/>
      </c>
    </row>
    <row r="52" spans="3:10">
      <c r="E52" s="135"/>
      <c r="F52" s="485"/>
      <c r="G52" s="485"/>
      <c r="H52" s="485"/>
      <c r="I52" s="485"/>
      <c r="J52" s="555"/>
    </row>
    <row r="53" spans="3:10" ht="16.5" thickBot="1">
      <c r="C53" s="791"/>
      <c r="E53" s="1405"/>
      <c r="F53" s="564" t="str">
        <f>IF(E53="","",J51)</f>
        <v/>
      </c>
      <c r="G53" s="564" t="str">
        <f>IF(E53="","",G51)</f>
        <v/>
      </c>
      <c r="H53" s="564" t="str">
        <f t="shared" ref="H53:H64" si="9">IF(E53="","",F53*$F$7)</f>
        <v/>
      </c>
      <c r="I53" s="564" t="str">
        <f>IF(E53="","",IF(AND('Input Page'!$F$143&gt;0)*OR('Input Page'!$F$143='LIHTC Debt'!E53,'Input Page'!$F$143&gt;'LIHTC Debt'!E53),0,G53-H53))</f>
        <v/>
      </c>
      <c r="J53" s="565" t="str">
        <f t="shared" si="4"/>
        <v/>
      </c>
    </row>
    <row r="54" spans="3:10">
      <c r="F54" s="7" t="str">
        <f t="shared" si="2"/>
        <v/>
      </c>
      <c r="G54" s="7" t="str">
        <f t="shared" si="3"/>
        <v/>
      </c>
      <c r="H54" s="7" t="str">
        <f t="shared" si="9"/>
        <v/>
      </c>
      <c r="I54" s="7" t="str">
        <f t="shared" ref="I54:I64" si="10">IF(E54="","",G54-H54)</f>
        <v/>
      </c>
      <c r="J54" s="7" t="str">
        <f t="shared" si="4"/>
        <v/>
      </c>
    </row>
    <row r="55" spans="3:10">
      <c r="F55" s="7" t="str">
        <f t="shared" si="2"/>
        <v/>
      </c>
      <c r="G55" s="7" t="str">
        <f t="shared" si="3"/>
        <v/>
      </c>
      <c r="H55" s="7" t="str">
        <f t="shared" si="9"/>
        <v/>
      </c>
      <c r="I55" s="7" t="str">
        <f t="shared" si="10"/>
        <v/>
      </c>
      <c r="J55" s="7" t="str">
        <f t="shared" si="4"/>
        <v/>
      </c>
    </row>
    <row r="56" spans="3:10">
      <c r="F56" s="7" t="str">
        <f t="shared" si="2"/>
        <v/>
      </c>
      <c r="G56" s="7" t="str">
        <f t="shared" si="3"/>
        <v/>
      </c>
      <c r="H56" s="7" t="str">
        <f t="shared" si="9"/>
        <v/>
      </c>
      <c r="I56" s="7" t="str">
        <f t="shared" si="10"/>
        <v/>
      </c>
      <c r="J56" s="7" t="str">
        <f t="shared" si="4"/>
        <v/>
      </c>
    </row>
    <row r="57" spans="3:10">
      <c r="F57" s="7" t="str">
        <f t="shared" si="2"/>
        <v/>
      </c>
      <c r="G57" s="7" t="str">
        <f t="shared" si="3"/>
        <v/>
      </c>
      <c r="H57" s="7" t="str">
        <f t="shared" si="9"/>
        <v/>
      </c>
      <c r="I57" s="7" t="str">
        <f t="shared" si="10"/>
        <v/>
      </c>
      <c r="J57" s="7" t="str">
        <f t="shared" si="4"/>
        <v/>
      </c>
    </row>
    <row r="58" spans="3:10">
      <c r="F58" s="7" t="str">
        <f t="shared" si="2"/>
        <v/>
      </c>
      <c r="G58" s="7" t="str">
        <f t="shared" si="3"/>
        <v/>
      </c>
      <c r="H58" s="7" t="str">
        <f t="shared" si="9"/>
        <v/>
      </c>
      <c r="I58" s="7" t="str">
        <f t="shared" si="10"/>
        <v/>
      </c>
      <c r="J58" s="7" t="str">
        <f t="shared" si="4"/>
        <v/>
      </c>
    </row>
    <row r="59" spans="3:10">
      <c r="F59" s="7" t="str">
        <f t="shared" si="2"/>
        <v/>
      </c>
      <c r="G59" s="7" t="str">
        <f t="shared" si="3"/>
        <v/>
      </c>
      <c r="H59" s="7" t="str">
        <f t="shared" si="9"/>
        <v/>
      </c>
      <c r="I59" s="7" t="str">
        <f t="shared" si="10"/>
        <v/>
      </c>
      <c r="J59" s="7" t="str">
        <f t="shared" si="4"/>
        <v/>
      </c>
    </row>
    <row r="60" spans="3:10">
      <c r="F60" s="7" t="str">
        <f t="shared" si="2"/>
        <v/>
      </c>
      <c r="G60" s="7" t="str">
        <f t="shared" si="3"/>
        <v/>
      </c>
      <c r="H60" s="7" t="str">
        <f t="shared" si="9"/>
        <v/>
      </c>
      <c r="I60" s="7" t="str">
        <f t="shared" si="10"/>
        <v/>
      </c>
      <c r="J60" s="7" t="str">
        <f t="shared" si="4"/>
        <v/>
      </c>
    </row>
    <row r="61" spans="3:10">
      <c r="F61" s="7" t="str">
        <f t="shared" si="2"/>
        <v/>
      </c>
      <c r="G61" s="7" t="str">
        <f t="shared" si="3"/>
        <v/>
      </c>
      <c r="H61" s="7" t="str">
        <f t="shared" si="9"/>
        <v/>
      </c>
      <c r="I61" s="7" t="str">
        <f t="shared" si="10"/>
        <v/>
      </c>
      <c r="J61" s="7" t="str">
        <f t="shared" si="4"/>
        <v/>
      </c>
    </row>
    <row r="62" spans="3:10">
      <c r="F62" s="7" t="str">
        <f t="shared" si="2"/>
        <v/>
      </c>
      <c r="G62" s="7" t="str">
        <f t="shared" si="3"/>
        <v/>
      </c>
      <c r="H62" s="7" t="str">
        <f t="shared" si="9"/>
        <v/>
      </c>
      <c r="I62" s="7" t="str">
        <f t="shared" si="10"/>
        <v/>
      </c>
      <c r="J62" s="7" t="str">
        <f t="shared" si="4"/>
        <v/>
      </c>
    </row>
    <row r="63" spans="3:10">
      <c r="F63" s="7" t="str">
        <f t="shared" si="2"/>
        <v/>
      </c>
      <c r="G63" s="7" t="str">
        <f t="shared" si="3"/>
        <v/>
      </c>
      <c r="H63" s="7" t="str">
        <f t="shared" si="9"/>
        <v/>
      </c>
      <c r="I63" s="7" t="str">
        <f t="shared" si="10"/>
        <v/>
      </c>
      <c r="J63" s="7" t="str">
        <f t="shared" si="4"/>
        <v/>
      </c>
    </row>
    <row r="64" spans="3:10">
      <c r="F64" s="7" t="str">
        <f t="shared" si="2"/>
        <v/>
      </c>
      <c r="G64" s="7" t="str">
        <f t="shared" si="3"/>
        <v/>
      </c>
      <c r="H64" s="7" t="str">
        <f t="shared" si="9"/>
        <v/>
      </c>
      <c r="I64" s="7" t="str">
        <f t="shared" si="10"/>
        <v/>
      </c>
      <c r="J64" s="7" t="str">
        <f t="shared" si="4"/>
        <v/>
      </c>
    </row>
  </sheetData>
  <mergeCells count="9">
    <mergeCell ref="A37:C37"/>
    <mergeCell ref="A32:C32"/>
    <mergeCell ref="E5:J5"/>
    <mergeCell ref="A1:J1"/>
    <mergeCell ref="A2:J2"/>
    <mergeCell ref="A5:C5"/>
    <mergeCell ref="A11:C11"/>
    <mergeCell ref="A19:C19"/>
    <mergeCell ref="G6:H6"/>
  </mergeCells>
  <pageMargins left="0.5" right="0.5" top="0.5" bottom="0.5" header="0.3" footer="0.3"/>
  <pageSetup scale="58" orientation="portrait" horizontalDpi="0" verticalDpi="0" r:id="rId1"/>
  <headerFooter>
    <oddFooter>&amp;LPRIVELEGED AND CONFIDENTIAL&amp;R&amp;G</oddFooter>
  </headerFooter>
  <legacy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  <pageSetUpPr fitToPage="1"/>
  </sheetPr>
  <dimension ref="A1:AS133"/>
  <sheetViews>
    <sheetView showGridLines="0" zoomScale="80" zoomScaleNormal="80" zoomScaleSheetLayoutView="90" zoomScalePageLayoutView="70" workbookViewId="0">
      <selection activeCell="F11" sqref="F11"/>
    </sheetView>
  </sheetViews>
  <sheetFormatPr defaultColWidth="9.140625" defaultRowHeight="15.75"/>
  <cols>
    <col min="1" max="1" width="3.5703125" style="7" customWidth="1"/>
    <col min="2" max="2" width="3.140625" style="7" customWidth="1"/>
    <col min="3" max="3" width="8.85546875" style="7" bestFit="1" customWidth="1"/>
    <col min="4" max="4" width="11.5703125" style="7" customWidth="1"/>
    <col min="5" max="5" width="9.85546875" style="7" customWidth="1"/>
    <col min="6" max="7" width="11.42578125" style="15" customWidth="1"/>
    <col min="8" max="8" width="4.85546875" style="7" customWidth="1"/>
    <col min="9" max="9" width="14.85546875" style="7" customWidth="1"/>
    <col min="10" max="10" width="14.5703125" style="7" bestFit="1" customWidth="1"/>
    <col min="11" max="11" width="0.85546875" style="7" customWidth="1"/>
    <col min="12" max="12" width="14.85546875" style="7" customWidth="1"/>
    <col min="13" max="13" width="1.140625" style="7" customWidth="1"/>
    <col min="14" max="14" width="17.140625" style="7" bestFit="1" customWidth="1"/>
    <col min="15" max="15" width="1.140625" style="7" customWidth="1"/>
    <col min="16" max="16" width="13.140625" style="7" customWidth="1"/>
    <col min="17" max="17" width="1.85546875" style="7" customWidth="1"/>
    <col min="18" max="18" width="18.42578125" style="7" bestFit="1" customWidth="1"/>
    <col min="19" max="19" width="70.85546875" style="7" bestFit="1" customWidth="1"/>
    <col min="20" max="20" width="9.85546875" style="7" bestFit="1" customWidth="1"/>
    <col min="21" max="21" width="17.42578125" style="7" customWidth="1"/>
    <col min="22" max="22" width="14.85546875" style="7" customWidth="1"/>
    <col min="23" max="23" width="12.5703125" style="7" customWidth="1"/>
    <col min="24" max="24" width="12" style="7" customWidth="1"/>
    <col min="25" max="25" width="12.85546875" style="7" customWidth="1"/>
    <col min="26" max="26" width="19.140625" style="7" customWidth="1"/>
    <col min="27" max="29" width="9.140625" style="7"/>
    <col min="30" max="30" width="18" style="15" hidden="1" customWidth="1"/>
    <col min="31" max="16384" width="9.140625" style="7"/>
  </cols>
  <sheetData>
    <row r="1" spans="1:43" ht="19.5" customHeight="1">
      <c r="A1" s="1602" t="str">
        <f>UPPER('Input Page'!$F$32)</f>
        <v/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2"/>
      <c r="S1" s="1206" t="s">
        <v>679</v>
      </c>
      <c r="AD1" s="394" t="s">
        <v>680</v>
      </c>
    </row>
    <row r="2" spans="1:43" ht="19.5" customHeight="1">
      <c r="A2" s="1602" t="s">
        <v>681</v>
      </c>
      <c r="B2" s="1602"/>
      <c r="C2" s="1602"/>
      <c r="D2" s="1602"/>
      <c r="E2" s="1602"/>
      <c r="F2" s="1602"/>
      <c r="G2" s="1602"/>
      <c r="H2" s="1602"/>
      <c r="I2" s="1602"/>
      <c r="J2" s="1602"/>
      <c r="K2" s="1602"/>
      <c r="L2" s="1602"/>
      <c r="M2" s="1602"/>
      <c r="N2" s="1602"/>
      <c r="O2" s="1602"/>
      <c r="P2" s="1602"/>
      <c r="Q2" s="1602"/>
      <c r="R2" s="1602"/>
      <c r="S2" s="428" t="s">
        <v>682</v>
      </c>
    </row>
    <row r="3" spans="1:43" ht="22.5" customHeight="1">
      <c r="A3" s="16"/>
      <c r="B3" s="17"/>
      <c r="C3" s="17"/>
      <c r="D3" s="17"/>
      <c r="E3" s="17"/>
      <c r="F3" s="26"/>
      <c r="G3" s="26"/>
      <c r="H3" s="18"/>
      <c r="I3" s="18" t="s">
        <v>683</v>
      </c>
      <c r="J3" s="18" t="s">
        <v>684</v>
      </c>
      <c r="K3" s="1004"/>
      <c r="L3" s="19" t="s">
        <v>685</v>
      </c>
      <c r="M3" s="18"/>
      <c r="N3" s="19" t="s">
        <v>686</v>
      </c>
      <c r="O3" s="18"/>
      <c r="P3" s="19" t="s">
        <v>687</v>
      </c>
      <c r="Q3" s="18"/>
      <c r="R3" s="20" t="s">
        <v>688</v>
      </c>
      <c r="S3" s="21"/>
    </row>
    <row r="4" spans="1:43">
      <c r="A4" s="35" t="s">
        <v>689</v>
      </c>
      <c r="F4" s="421"/>
      <c r="G4" s="721"/>
      <c r="I4" s="1011"/>
      <c r="J4" s="1012" t="e">
        <f>I4/'Input Page'!$E$181</f>
        <v>#DIV/0!</v>
      </c>
      <c r="K4" s="1005"/>
      <c r="L4" s="500"/>
      <c r="M4" s="500"/>
      <c r="N4" s="500"/>
      <c r="O4" s="500"/>
      <c r="P4" s="500"/>
      <c r="Q4" s="500"/>
      <c r="R4" s="582"/>
      <c r="S4" s="86"/>
      <c r="AD4" s="485">
        <f>I4</f>
        <v>0</v>
      </c>
    </row>
    <row r="5" spans="1:43">
      <c r="A5" s="27"/>
      <c r="C5" s="7" t="s">
        <v>690</v>
      </c>
      <c r="F5" s="386"/>
      <c r="G5" s="721"/>
      <c r="I5" s="730">
        <f>I4*F5</f>
        <v>0</v>
      </c>
      <c r="J5" s="484" t="e">
        <f>I5/'Input Page'!$E$181</f>
        <v>#DIV/0!</v>
      </c>
      <c r="K5" s="1005"/>
      <c r="L5" s="500">
        <f>I5</f>
        <v>0</v>
      </c>
      <c r="M5" s="500"/>
      <c r="N5" s="500"/>
      <c r="O5" s="500"/>
      <c r="P5" s="500">
        <f>I5-L5</f>
        <v>0</v>
      </c>
      <c r="Q5" s="500"/>
      <c r="R5" s="582"/>
      <c r="S5" s="1025" t="s">
        <v>691</v>
      </c>
      <c r="U5" s="540" t="s">
        <v>692</v>
      </c>
      <c r="V5" s="537" t="s">
        <v>690</v>
      </c>
      <c r="W5" s="538"/>
      <c r="X5" s="537" t="s">
        <v>693</v>
      </c>
      <c r="Y5" s="539"/>
    </row>
    <row r="6" spans="1:43">
      <c r="A6" s="27"/>
      <c r="C6" s="7" t="s">
        <v>694</v>
      </c>
      <c r="F6" s="288">
        <f>1-F5</f>
        <v>1</v>
      </c>
      <c r="G6" s="721"/>
      <c r="I6" s="730">
        <f>I4*F6</f>
        <v>0</v>
      </c>
      <c r="J6" s="484" t="e">
        <f>I6/'Input Page'!$E$181</f>
        <v>#DIV/0!</v>
      </c>
      <c r="K6" s="1005"/>
      <c r="L6" s="500"/>
      <c r="M6" s="500"/>
      <c r="N6" s="500"/>
      <c r="O6" s="500"/>
      <c r="P6" s="500">
        <f>I6-L6</f>
        <v>0</v>
      </c>
      <c r="Q6" s="500"/>
      <c r="R6" s="582"/>
      <c r="S6" s="1"/>
      <c r="Z6"/>
      <c r="AA6"/>
      <c r="AB6"/>
      <c r="AC6"/>
    </row>
    <row r="7" spans="1:43">
      <c r="A7" s="27"/>
      <c r="C7" s="7" t="s">
        <v>695</v>
      </c>
      <c r="F7" s="426"/>
      <c r="G7" s="721"/>
      <c r="I7" s="731">
        <v>0</v>
      </c>
      <c r="J7" s="492" t="e">
        <f>I7/'Input Page'!$E$181</f>
        <v>#DIV/0!</v>
      </c>
      <c r="K7" s="1005"/>
      <c r="L7" s="502">
        <f>I7</f>
        <v>0</v>
      </c>
      <c r="M7" s="500"/>
      <c r="N7" s="502"/>
      <c r="O7" s="500"/>
      <c r="P7" s="502"/>
      <c r="Q7" s="500"/>
      <c r="R7" s="624"/>
      <c r="S7" s="1"/>
      <c r="Z7"/>
      <c r="AA7"/>
      <c r="AB7"/>
      <c r="AC7"/>
    </row>
    <row r="8" spans="1:43" s="24" customFormat="1">
      <c r="A8" s="35"/>
      <c r="B8" s="24" t="s">
        <v>696</v>
      </c>
      <c r="F8" s="1400"/>
      <c r="G8" s="722"/>
      <c r="I8" s="732">
        <f>SUM(I5:I7)</f>
        <v>0</v>
      </c>
      <c r="J8" s="732" t="e">
        <f>SUM(J5:J7)</f>
        <v>#DIV/0!</v>
      </c>
      <c r="K8" s="1006"/>
      <c r="L8" s="733">
        <f>SUM(L5:L7)</f>
        <v>0</v>
      </c>
      <c r="M8" s="733"/>
      <c r="N8" s="733">
        <f>SUM(N5:N7)</f>
        <v>0</v>
      </c>
      <c r="O8" s="733"/>
      <c r="P8" s="733">
        <f>SUM(P5:P7)</f>
        <v>0</v>
      </c>
      <c r="Q8" s="733"/>
      <c r="R8" s="734">
        <f>SUM(R5:R7)</f>
        <v>0</v>
      </c>
      <c r="S8" s="1026"/>
      <c r="W8" s="7"/>
      <c r="X8" s="7"/>
      <c r="Y8" s="7"/>
      <c r="Z8"/>
      <c r="AA8"/>
      <c r="AB8"/>
      <c r="AC8"/>
      <c r="AD8" s="15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>
      <c r="A9" s="27"/>
      <c r="B9" s="24"/>
      <c r="G9" s="722"/>
      <c r="I9" s="484"/>
      <c r="J9" s="484"/>
      <c r="K9" s="1005"/>
      <c r="L9" s="500"/>
      <c r="M9" s="500"/>
      <c r="N9" s="500"/>
      <c r="O9" s="500"/>
      <c r="P9" s="500"/>
      <c r="Q9" s="500"/>
      <c r="R9" s="582"/>
      <c r="S9" s="1027"/>
      <c r="Z9"/>
      <c r="AA9"/>
      <c r="AB9"/>
      <c r="AC9"/>
    </row>
    <row r="10" spans="1:43">
      <c r="A10" s="35" t="s">
        <v>697</v>
      </c>
      <c r="F10" s="387"/>
      <c r="G10" s="762"/>
      <c r="I10" s="735"/>
      <c r="J10" s="736"/>
      <c r="K10" s="1007"/>
      <c r="L10" s="485"/>
      <c r="M10" s="485"/>
      <c r="N10" s="485"/>
      <c r="O10" s="485"/>
      <c r="P10" s="485"/>
      <c r="Q10" s="485"/>
      <c r="R10" s="294"/>
      <c r="S10" s="1027"/>
      <c r="Z10"/>
      <c r="AA10"/>
      <c r="AB10"/>
      <c r="AC10"/>
    </row>
    <row r="11" spans="1:43">
      <c r="A11" s="27"/>
      <c r="C11" s="7" t="s">
        <v>698</v>
      </c>
      <c r="F11" s="420">
        <v>48000</v>
      </c>
      <c r="G11" s="723"/>
      <c r="I11" s="737">
        <f>F11*'Unit Mix'!D39</f>
        <v>0</v>
      </c>
      <c r="J11" s="484" t="e">
        <f>I11/'Input Page'!$E$181</f>
        <v>#DIV/0!</v>
      </c>
      <c r="K11" s="1007"/>
      <c r="L11" s="485"/>
      <c r="M11" s="485"/>
      <c r="N11" s="485">
        <f t="shared" ref="N11:N25" si="0">R11</f>
        <v>0</v>
      </c>
      <c r="O11" s="485"/>
      <c r="P11" s="485"/>
      <c r="Q11" s="485"/>
      <c r="R11" s="582">
        <f>I11</f>
        <v>0</v>
      </c>
      <c r="S11" s="1027" t="s">
        <v>699</v>
      </c>
      <c r="Z11"/>
      <c r="AA11"/>
      <c r="AB11"/>
      <c r="AC11"/>
    </row>
    <row r="12" spans="1:43">
      <c r="A12" s="27"/>
      <c r="C12" s="7" t="s">
        <v>700</v>
      </c>
      <c r="F12" s="1181"/>
      <c r="G12" s="721"/>
      <c r="I12" s="737">
        <f>F12*('Unit Mix'!$D$39*'Development Costs'!$F$11)</f>
        <v>0</v>
      </c>
      <c r="J12" s="484" t="e">
        <f>I12/'Input Page'!$E$181</f>
        <v>#DIV/0!</v>
      </c>
      <c r="K12" s="1007"/>
      <c r="L12" s="1191"/>
      <c r="M12" s="485"/>
      <c r="N12" s="485"/>
      <c r="O12" s="485"/>
      <c r="P12" s="485"/>
      <c r="Q12" s="485"/>
      <c r="R12" s="582">
        <f>I12-L12</f>
        <v>0</v>
      </c>
      <c r="S12" s="1027"/>
      <c r="Z12"/>
      <c r="AA12"/>
      <c r="AB12"/>
      <c r="AC12"/>
    </row>
    <row r="13" spans="1:43">
      <c r="A13" s="27"/>
      <c r="C13" s="7" t="s">
        <v>701</v>
      </c>
      <c r="F13" s="1180"/>
      <c r="G13" s="724"/>
      <c r="I13" s="737">
        <f>F13*'Unit Mix'!$D$39</f>
        <v>0</v>
      </c>
      <c r="J13" s="484" t="e">
        <f>I13/'Input Page'!$E$181</f>
        <v>#DIV/0!</v>
      </c>
      <c r="K13" s="1007"/>
      <c r="L13" s="485"/>
      <c r="M13" s="485"/>
      <c r="N13" s="485"/>
      <c r="O13" s="485"/>
      <c r="P13" s="485"/>
      <c r="Q13" s="485"/>
      <c r="R13" s="582">
        <f>I13</f>
        <v>0</v>
      </c>
      <c r="S13" s="1027"/>
      <c r="Z13"/>
      <c r="AA13"/>
      <c r="AB13"/>
      <c r="AC13"/>
    </row>
    <row r="14" spans="1:43">
      <c r="A14" s="27"/>
      <c r="C14" s="7" t="s">
        <v>702</v>
      </c>
      <c r="F14" s="147">
        <v>0.06</v>
      </c>
      <c r="G14" s="721"/>
      <c r="I14" s="500">
        <f>F14*SUM($I$11:$I$13)</f>
        <v>0</v>
      </c>
      <c r="J14" s="484" t="e">
        <f>I14/'Input Page'!$E$181</f>
        <v>#DIV/0!</v>
      </c>
      <c r="K14" s="1007"/>
      <c r="L14" s="485"/>
      <c r="M14" s="485"/>
      <c r="N14" s="485">
        <f t="shared" si="0"/>
        <v>0</v>
      </c>
      <c r="O14" s="485"/>
      <c r="P14" s="485"/>
      <c r="Q14" s="485"/>
      <c r="R14" s="582">
        <f t="shared" ref="R14:R25" si="1">I14</f>
        <v>0</v>
      </c>
      <c r="S14" s="1027" t="s">
        <v>1040</v>
      </c>
      <c r="Z14"/>
      <c r="AA14"/>
      <c r="AB14"/>
      <c r="AC14"/>
    </row>
    <row r="15" spans="1:43">
      <c r="A15" s="27"/>
      <c r="C15" s="7" t="s">
        <v>704</v>
      </c>
      <c r="F15" s="147">
        <v>0.02</v>
      </c>
      <c r="G15" s="721"/>
      <c r="I15" s="500">
        <f t="shared" ref="I15:I17" si="2">F15*SUM($I$11:$I$13)</f>
        <v>0</v>
      </c>
      <c r="J15" s="484" t="e">
        <f>I15/'Input Page'!$E$181</f>
        <v>#DIV/0!</v>
      </c>
      <c r="K15" s="1007"/>
      <c r="L15" s="485"/>
      <c r="M15" s="485"/>
      <c r="N15" s="485">
        <f t="shared" si="0"/>
        <v>0</v>
      </c>
      <c r="O15" s="485"/>
      <c r="P15" s="485"/>
      <c r="Q15" s="485"/>
      <c r="R15" s="582">
        <f t="shared" si="1"/>
        <v>0</v>
      </c>
      <c r="S15" s="1027" t="s">
        <v>1040</v>
      </c>
      <c r="Z15"/>
      <c r="AA15"/>
      <c r="AB15"/>
      <c r="AC15"/>
    </row>
    <row r="16" spans="1:43">
      <c r="A16" s="27"/>
      <c r="C16" s="7" t="s">
        <v>705</v>
      </c>
      <c r="F16" s="147">
        <v>0.06</v>
      </c>
      <c r="G16" s="721"/>
      <c r="I16" s="500">
        <f t="shared" si="2"/>
        <v>0</v>
      </c>
      <c r="J16" s="484" t="e">
        <f>I16/'Input Page'!$E$181</f>
        <v>#DIV/0!</v>
      </c>
      <c r="K16" s="1007"/>
      <c r="L16" s="485"/>
      <c r="M16" s="485"/>
      <c r="N16" s="485">
        <f t="shared" si="0"/>
        <v>0</v>
      </c>
      <c r="O16" s="485"/>
      <c r="P16" s="485"/>
      <c r="Q16" s="485"/>
      <c r="R16" s="582">
        <f t="shared" si="1"/>
        <v>0</v>
      </c>
      <c r="S16" s="1027" t="s">
        <v>1040</v>
      </c>
      <c r="Z16"/>
      <c r="AA16"/>
      <c r="AB16"/>
      <c r="AC16"/>
    </row>
    <row r="17" spans="1:30">
      <c r="A17" s="27"/>
      <c r="C17" s="7" t="s">
        <v>706</v>
      </c>
      <c r="F17" s="147">
        <v>0.1</v>
      </c>
      <c r="G17" s="721"/>
      <c r="I17" s="500">
        <f t="shared" si="2"/>
        <v>0</v>
      </c>
      <c r="J17" s="484" t="e">
        <f>I17/'Input Page'!$E$181</f>
        <v>#DIV/0!</v>
      </c>
      <c r="K17" s="1007"/>
      <c r="L17" s="485"/>
      <c r="M17" s="485"/>
      <c r="N17" s="485">
        <f t="shared" si="0"/>
        <v>0</v>
      </c>
      <c r="O17" s="485"/>
      <c r="P17" s="485"/>
      <c r="Q17" s="485"/>
      <c r="R17" s="582">
        <f t="shared" si="1"/>
        <v>0</v>
      </c>
      <c r="S17" s="1027" t="s">
        <v>703</v>
      </c>
      <c r="Z17"/>
      <c r="AA17"/>
      <c r="AB17"/>
      <c r="AC17"/>
    </row>
    <row r="18" spans="1:30">
      <c r="A18" s="27"/>
      <c r="C18" s="7" t="s">
        <v>707</v>
      </c>
      <c r="F18" s="1371">
        <f>1%</f>
        <v>0.01</v>
      </c>
      <c r="G18" s="721"/>
      <c r="I18" s="500">
        <f>F18*I11</f>
        <v>0</v>
      </c>
      <c r="J18" s="484" t="e">
        <f>I18/'Input Page'!$E$181</f>
        <v>#DIV/0!</v>
      </c>
      <c r="K18" s="1007"/>
      <c r="L18" s="485"/>
      <c r="M18" s="485"/>
      <c r="N18" s="485">
        <f t="shared" si="0"/>
        <v>0</v>
      </c>
      <c r="O18" s="485"/>
      <c r="P18" s="485"/>
      <c r="Q18" s="485"/>
      <c r="R18" s="582">
        <f t="shared" si="1"/>
        <v>0</v>
      </c>
      <c r="S18" s="1027" t="s">
        <v>708</v>
      </c>
      <c r="Z18"/>
      <c r="AA18"/>
      <c r="AB18"/>
      <c r="AC18"/>
    </row>
    <row r="19" spans="1:30">
      <c r="A19" s="27"/>
      <c r="C19" s="7" t="s">
        <v>709</v>
      </c>
      <c r="F19" s="1371">
        <f>1%</f>
        <v>0.01</v>
      </c>
      <c r="G19" s="721"/>
      <c r="I19" s="500">
        <f>F19*I11</f>
        <v>0</v>
      </c>
      <c r="J19" s="484" t="e">
        <f>I19/'Input Page'!$E$181</f>
        <v>#DIV/0!</v>
      </c>
      <c r="K19" s="1007"/>
      <c r="L19" s="485"/>
      <c r="M19" s="485"/>
      <c r="N19" s="485">
        <f t="shared" si="0"/>
        <v>0</v>
      </c>
      <c r="O19" s="485"/>
      <c r="P19" s="485"/>
      <c r="Q19" s="485"/>
      <c r="R19" s="582">
        <f t="shared" si="1"/>
        <v>0</v>
      </c>
      <c r="S19" s="1027" t="s">
        <v>708</v>
      </c>
      <c r="Z19"/>
      <c r="AA19"/>
      <c r="AB19"/>
      <c r="AC19"/>
    </row>
    <row r="20" spans="1:30">
      <c r="A20" s="27"/>
      <c r="C20" s="7" t="s">
        <v>710</v>
      </c>
      <c r="F20" s="1192">
        <v>0</v>
      </c>
      <c r="G20" s="721"/>
      <c r="I20" s="486"/>
      <c r="J20" s="484" t="e">
        <f>I20/'Input Page'!$E$181</f>
        <v>#DIV/0!</v>
      </c>
      <c r="K20" s="1007"/>
      <c r="L20" s="485">
        <f>I20</f>
        <v>0</v>
      </c>
      <c r="M20" s="485"/>
      <c r="N20" s="486"/>
      <c r="O20" s="485"/>
      <c r="P20" s="485"/>
      <c r="Q20" s="485"/>
      <c r="R20" s="582"/>
      <c r="S20" s="1027"/>
      <c r="Z20"/>
      <c r="AA20"/>
      <c r="AB20"/>
      <c r="AC20"/>
      <c r="AD20" s="485">
        <f>-I20</f>
        <v>0</v>
      </c>
    </row>
    <row r="21" spans="1:30">
      <c r="A21" s="27"/>
      <c r="C21" s="7" t="s">
        <v>711</v>
      </c>
      <c r="F21" s="1192" t="s">
        <v>712</v>
      </c>
      <c r="G21" s="721"/>
      <c r="I21" s="500">
        <f>F21*'LIHTC Exec Summary'!E11</f>
        <v>0</v>
      </c>
      <c r="J21" s="484" t="e">
        <f>I21/'Input Page'!$E$181</f>
        <v>#DIV/0!</v>
      </c>
      <c r="K21" s="1007"/>
      <c r="L21" s="485"/>
      <c r="M21" s="485"/>
      <c r="N21" s="485">
        <f t="shared" si="0"/>
        <v>0</v>
      </c>
      <c r="O21" s="485"/>
      <c r="P21" s="485"/>
      <c r="Q21" s="485"/>
      <c r="R21" s="582">
        <f>I21</f>
        <v>0</v>
      </c>
      <c r="S21" s="1027"/>
      <c r="Z21"/>
      <c r="AA21"/>
      <c r="AB21"/>
      <c r="AC21"/>
      <c r="AD21" s="485">
        <f>-I21</f>
        <v>0</v>
      </c>
    </row>
    <row r="22" spans="1:30">
      <c r="A22" s="27"/>
      <c r="C22" s="7" t="s">
        <v>713</v>
      </c>
      <c r="F22" s="420">
        <v>100</v>
      </c>
      <c r="G22" s="721"/>
      <c r="I22" s="500">
        <f>F22*'LIHTC Exec Summary'!E11</f>
        <v>0</v>
      </c>
      <c r="J22" s="484" t="e">
        <f>I22/'Input Page'!$E$181</f>
        <v>#DIV/0!</v>
      </c>
      <c r="K22" s="1007"/>
      <c r="L22" s="485"/>
      <c r="M22" s="485"/>
      <c r="N22" s="485">
        <f t="shared" si="0"/>
        <v>0</v>
      </c>
      <c r="O22" s="485"/>
      <c r="P22" s="485"/>
      <c r="Q22" s="485"/>
      <c r="R22" s="582">
        <f>I22</f>
        <v>0</v>
      </c>
      <c r="S22" s="1027" t="s">
        <v>714</v>
      </c>
      <c r="Z22"/>
      <c r="AA22"/>
      <c r="AB22"/>
      <c r="AC22"/>
    </row>
    <row r="23" spans="1:30">
      <c r="A23" s="27"/>
      <c r="C23" s="7" t="s">
        <v>715</v>
      </c>
      <c r="F23" s="420">
        <v>100</v>
      </c>
      <c r="G23" s="721"/>
      <c r="I23" s="500">
        <f>F23*'Input Page'!$E$181</f>
        <v>0</v>
      </c>
      <c r="J23" s="484" t="e">
        <f>I23/'Input Page'!$E$181</f>
        <v>#DIV/0!</v>
      </c>
      <c r="K23" s="1007"/>
      <c r="L23" s="485"/>
      <c r="M23" s="485"/>
      <c r="N23" s="485">
        <f t="shared" si="0"/>
        <v>0</v>
      </c>
      <c r="O23" s="485"/>
      <c r="P23" s="485"/>
      <c r="Q23" s="485"/>
      <c r="R23" s="582">
        <f>I23</f>
        <v>0</v>
      </c>
      <c r="S23" s="1027" t="s">
        <v>714</v>
      </c>
      <c r="Z23"/>
      <c r="AA23"/>
      <c r="AB23"/>
      <c r="AC23"/>
    </row>
    <row r="24" spans="1:30">
      <c r="A24" s="27"/>
      <c r="C24" s="7" t="s">
        <v>716</v>
      </c>
      <c r="F24" s="1400"/>
      <c r="G24" s="721"/>
      <c r="I24" s="486">
        <v>0</v>
      </c>
      <c r="J24" s="484" t="e">
        <f>I24/'Input Page'!$E$181</f>
        <v>#DIV/0!</v>
      </c>
      <c r="K24" s="1007"/>
      <c r="L24" s="485"/>
      <c r="M24" s="485"/>
      <c r="N24" s="485">
        <f t="shared" si="0"/>
        <v>0</v>
      </c>
      <c r="O24" s="485"/>
      <c r="P24" s="485"/>
      <c r="Q24" s="485"/>
      <c r="R24" s="582">
        <f>I24</f>
        <v>0</v>
      </c>
      <c r="S24" s="1027" t="s">
        <v>717</v>
      </c>
      <c r="Z24"/>
      <c r="AA24"/>
      <c r="AB24"/>
      <c r="AC24"/>
    </row>
    <row r="25" spans="1:30">
      <c r="A25" s="27"/>
      <c r="C25" s="7" t="s">
        <v>718</v>
      </c>
      <c r="F25" s="1400"/>
      <c r="G25" s="721"/>
      <c r="I25" s="1197">
        <v>0</v>
      </c>
      <c r="J25" s="492" t="e">
        <f>I25/'Input Page'!$E$181</f>
        <v>#DIV/0!</v>
      </c>
      <c r="K25" s="1007"/>
      <c r="L25" s="485"/>
      <c r="M25" s="485"/>
      <c r="N25" s="485">
        <f t="shared" si="0"/>
        <v>0</v>
      </c>
      <c r="O25" s="485"/>
      <c r="P25" s="485"/>
      <c r="Q25" s="485"/>
      <c r="R25" s="582">
        <f t="shared" si="1"/>
        <v>0</v>
      </c>
      <c r="S25" s="1027"/>
      <c r="Z25"/>
      <c r="AA25"/>
      <c r="AB25"/>
      <c r="AC25"/>
    </row>
    <row r="26" spans="1:30">
      <c r="A26" s="27"/>
      <c r="B26" s="24" t="s">
        <v>719</v>
      </c>
      <c r="F26" s="733"/>
      <c r="G26" s="723"/>
      <c r="I26" s="738">
        <f>SUM(I11:I25)</f>
        <v>0</v>
      </c>
      <c r="J26" s="738" t="e">
        <f>SUM(J11:J25)</f>
        <v>#DIV/0!</v>
      </c>
      <c r="K26" s="1007"/>
      <c r="L26" s="738">
        <f>SUM(L11:L25)</f>
        <v>0</v>
      </c>
      <c r="M26" s="693"/>
      <c r="N26" s="738">
        <f>SUM(N11:N25)</f>
        <v>0</v>
      </c>
      <c r="O26" s="693"/>
      <c r="P26" s="738">
        <f>SUM(P11:P25)</f>
        <v>0</v>
      </c>
      <c r="Q26" s="693"/>
      <c r="R26" s="739">
        <f>SUM(R11:R25)</f>
        <v>0</v>
      </c>
      <c r="S26" s="1027" t="s">
        <v>720</v>
      </c>
      <c r="T26" s="22"/>
      <c r="Z26"/>
      <c r="AA26"/>
      <c r="AB26"/>
      <c r="AC26"/>
      <c r="AD26" s="485">
        <f>I26</f>
        <v>0</v>
      </c>
    </row>
    <row r="27" spans="1:30">
      <c r="A27" s="27"/>
      <c r="G27" s="722"/>
      <c r="I27" s="485"/>
      <c r="J27" s="485"/>
      <c r="K27" s="1007"/>
      <c r="L27" s="485"/>
      <c r="M27" s="485"/>
      <c r="N27" s="485"/>
      <c r="O27" s="485"/>
      <c r="P27" s="485"/>
      <c r="Q27" s="485"/>
      <c r="R27" s="294"/>
      <c r="S27" s="1027"/>
      <c r="Z27"/>
      <c r="AA27"/>
      <c r="AB27"/>
      <c r="AC27"/>
    </row>
    <row r="28" spans="1:30">
      <c r="A28" s="35" t="s">
        <v>721</v>
      </c>
      <c r="G28" s="722"/>
      <c r="I28" s="485"/>
      <c r="J28" s="485"/>
      <c r="K28" s="1007"/>
      <c r="L28" s="485"/>
      <c r="M28" s="485"/>
      <c r="N28" s="485"/>
      <c r="O28" s="485"/>
      <c r="P28" s="485"/>
      <c r="Q28" s="485"/>
      <c r="R28" s="294"/>
      <c r="S28" s="1027"/>
      <c r="Z28"/>
      <c r="AA28"/>
      <c r="AB28"/>
      <c r="AC28"/>
    </row>
    <row r="29" spans="1:30">
      <c r="A29" s="27"/>
      <c r="C29" s="7" t="s">
        <v>722</v>
      </c>
      <c r="F29" s="147">
        <v>0.03</v>
      </c>
      <c r="G29" s="721"/>
      <c r="I29" s="740">
        <f>(F29*(I11+I12+I13+I14+I15+I16))*0.9</f>
        <v>0</v>
      </c>
      <c r="J29" s="484" t="e">
        <f>I29/'Input Page'!$E$181</f>
        <v>#DIV/0!</v>
      </c>
      <c r="K29" s="1005"/>
      <c r="L29" s="500"/>
      <c r="M29" s="500"/>
      <c r="N29" s="484">
        <f>R29</f>
        <v>0</v>
      </c>
      <c r="O29" s="500"/>
      <c r="P29" s="484"/>
      <c r="Q29" s="500"/>
      <c r="R29" s="582">
        <f t="shared" ref="R29:R49" si="3">I29</f>
        <v>0</v>
      </c>
      <c r="S29" s="1027" t="s">
        <v>723</v>
      </c>
      <c r="Z29"/>
      <c r="AA29"/>
      <c r="AB29"/>
      <c r="AC29"/>
    </row>
    <row r="30" spans="1:30">
      <c r="A30" s="27"/>
      <c r="C30" s="7" t="s">
        <v>724</v>
      </c>
      <c r="G30" s="722"/>
      <c r="I30" s="741">
        <f>(F29*(I11+I12+I13+I14+I15+I16))*0.1</f>
        <v>0</v>
      </c>
      <c r="J30" s="484" t="e">
        <f>I30/'Input Page'!$E$181</f>
        <v>#DIV/0!</v>
      </c>
      <c r="K30" s="1005"/>
      <c r="L30" s="500"/>
      <c r="M30" s="500"/>
      <c r="N30" s="484">
        <f>R30</f>
        <v>0</v>
      </c>
      <c r="O30" s="500"/>
      <c r="P30" s="484"/>
      <c r="Q30" s="500"/>
      <c r="R30" s="582">
        <f t="shared" si="3"/>
        <v>0</v>
      </c>
      <c r="S30" s="1027"/>
      <c r="Z30"/>
      <c r="AA30"/>
      <c r="AB30"/>
      <c r="AC30"/>
    </row>
    <row r="31" spans="1:30">
      <c r="A31" s="27"/>
      <c r="C31" s="7" t="s">
        <v>725</v>
      </c>
      <c r="G31" s="722"/>
      <c r="I31" s="483"/>
      <c r="J31" s="484" t="e">
        <f>I31/'Input Page'!$E$181</f>
        <v>#DIV/0!</v>
      </c>
      <c r="K31" s="1005"/>
      <c r="L31" s="500"/>
      <c r="M31" s="500"/>
      <c r="N31" s="484">
        <f>R31</f>
        <v>0</v>
      </c>
      <c r="O31" s="500"/>
      <c r="P31" s="484"/>
      <c r="Q31" s="500"/>
      <c r="R31" s="582">
        <f t="shared" si="3"/>
        <v>0</v>
      </c>
      <c r="S31" s="1027"/>
      <c r="Z31"/>
      <c r="AA31"/>
      <c r="AB31"/>
      <c r="AC31"/>
    </row>
    <row r="32" spans="1:30">
      <c r="A32" s="27"/>
      <c r="C32" s="7" t="s">
        <v>726</v>
      </c>
      <c r="G32" s="722"/>
      <c r="I32" s="483"/>
      <c r="J32" s="484" t="e">
        <f>I32/'Input Page'!$E$181</f>
        <v>#DIV/0!</v>
      </c>
      <c r="K32" s="1005"/>
      <c r="L32" s="500"/>
      <c r="M32" s="500"/>
      <c r="N32" s="484">
        <f t="shared" ref="N32:N36" si="4">R32</f>
        <v>0</v>
      </c>
      <c r="O32" s="500"/>
      <c r="P32" s="484"/>
      <c r="Q32" s="500"/>
      <c r="R32" s="582">
        <f t="shared" si="3"/>
        <v>0</v>
      </c>
      <c r="S32" s="1027" t="s">
        <v>727</v>
      </c>
      <c r="Z32"/>
      <c r="AA32"/>
      <c r="AB32"/>
      <c r="AC32"/>
    </row>
    <row r="33" spans="1:30">
      <c r="A33" s="27"/>
      <c r="C33" s="7" t="s">
        <v>728</v>
      </c>
      <c r="G33" s="722"/>
      <c r="I33" s="483"/>
      <c r="J33" s="484" t="e">
        <f>I33/'Input Page'!$E$181</f>
        <v>#DIV/0!</v>
      </c>
      <c r="K33" s="1005"/>
      <c r="L33" s="500"/>
      <c r="M33" s="500"/>
      <c r="N33" s="484">
        <f t="shared" si="4"/>
        <v>0</v>
      </c>
      <c r="O33" s="500"/>
      <c r="P33" s="484"/>
      <c r="Q33" s="500"/>
      <c r="R33" s="582">
        <f>I33</f>
        <v>0</v>
      </c>
      <c r="S33" s="1027"/>
      <c r="Z33"/>
      <c r="AA33"/>
      <c r="AB33"/>
      <c r="AC33"/>
    </row>
    <row r="34" spans="1:30">
      <c r="A34" s="27"/>
      <c r="C34" s="7" t="s">
        <v>384</v>
      </c>
      <c r="G34" s="722"/>
      <c r="I34" s="483"/>
      <c r="J34" s="484" t="e">
        <f>I34/'Input Page'!$E$181</f>
        <v>#DIV/0!</v>
      </c>
      <c r="K34" s="1005"/>
      <c r="L34" s="500"/>
      <c r="M34" s="500"/>
      <c r="N34" s="484">
        <f t="shared" si="4"/>
        <v>0</v>
      </c>
      <c r="O34" s="500"/>
      <c r="P34" s="484"/>
      <c r="Q34" s="500"/>
      <c r="R34" s="582">
        <f>I34</f>
        <v>0</v>
      </c>
      <c r="S34" s="1027" t="s">
        <v>729</v>
      </c>
      <c r="Z34" s="471"/>
      <c r="AA34" s="471"/>
      <c r="AB34" s="471"/>
      <c r="AC34" s="471"/>
    </row>
    <row r="35" spans="1:30">
      <c r="A35" s="27"/>
      <c r="C35" s="7" t="s">
        <v>730</v>
      </c>
      <c r="G35" s="722"/>
      <c r="I35" s="483"/>
      <c r="J35" s="484" t="e">
        <f>I35/'Input Page'!$E$181</f>
        <v>#DIV/0!</v>
      </c>
      <c r="K35" s="1005"/>
      <c r="L35" s="500"/>
      <c r="M35" s="500"/>
      <c r="N35" s="484">
        <f t="shared" si="4"/>
        <v>0</v>
      </c>
      <c r="O35" s="500"/>
      <c r="P35" s="484"/>
      <c r="Q35" s="500"/>
      <c r="R35" s="582">
        <f>I35</f>
        <v>0</v>
      </c>
      <c r="S35" s="1027" t="s">
        <v>731</v>
      </c>
      <c r="Z35" s="471"/>
      <c r="AA35" s="471"/>
      <c r="AB35" s="471"/>
      <c r="AC35" s="471"/>
    </row>
    <row r="36" spans="1:30">
      <c r="A36" s="27"/>
      <c r="C36" s="7" t="s">
        <v>732</v>
      </c>
      <c r="G36" s="722"/>
      <c r="I36" s="483"/>
      <c r="J36" s="484" t="e">
        <f>I36/'Input Page'!$E$181</f>
        <v>#DIV/0!</v>
      </c>
      <c r="K36" s="1005"/>
      <c r="L36" s="500"/>
      <c r="M36" s="500"/>
      <c r="N36" s="484">
        <f t="shared" si="4"/>
        <v>0</v>
      </c>
      <c r="O36" s="500"/>
      <c r="P36" s="484"/>
      <c r="Q36" s="500"/>
      <c r="R36" s="582">
        <f>I36</f>
        <v>0</v>
      </c>
      <c r="S36" s="1027" t="s">
        <v>733</v>
      </c>
      <c r="Z36" s="471"/>
      <c r="AA36" s="471"/>
      <c r="AB36" s="471"/>
      <c r="AC36" s="471"/>
    </row>
    <row r="37" spans="1:30">
      <c r="A37" s="27"/>
      <c r="C37" s="7" t="s">
        <v>360</v>
      </c>
      <c r="G37" s="722"/>
      <c r="I37" s="483"/>
      <c r="J37" s="484" t="e">
        <f>I37/'Input Page'!$E$181</f>
        <v>#DIV/0!</v>
      </c>
      <c r="K37" s="1005"/>
      <c r="L37" s="500"/>
      <c r="M37" s="500"/>
      <c r="N37" s="484">
        <f t="shared" ref="N37:N45" si="5">R37</f>
        <v>0</v>
      </c>
      <c r="O37" s="500"/>
      <c r="P37" s="484"/>
      <c r="Q37" s="500"/>
      <c r="R37" s="582">
        <f t="shared" si="3"/>
        <v>0</v>
      </c>
      <c r="S37" s="1027"/>
    </row>
    <row r="38" spans="1:30">
      <c r="A38" s="27"/>
      <c r="C38" s="7" t="s">
        <v>734</v>
      </c>
      <c r="F38" s="63"/>
      <c r="G38" s="723"/>
      <c r="I38" s="483"/>
      <c r="J38" s="484" t="e">
        <f>I38/'Input Page'!$E$181</f>
        <v>#DIV/0!</v>
      </c>
      <c r="K38" s="1005"/>
      <c r="L38" s="500"/>
      <c r="M38" s="500"/>
      <c r="N38" s="484">
        <f t="shared" si="5"/>
        <v>0</v>
      </c>
      <c r="O38" s="500"/>
      <c r="P38" s="484"/>
      <c r="Q38" s="500"/>
      <c r="R38" s="582">
        <f t="shared" si="3"/>
        <v>0</v>
      </c>
      <c r="S38" s="1027" t="s">
        <v>735</v>
      </c>
    </row>
    <row r="39" spans="1:30">
      <c r="A39" s="27"/>
      <c r="C39" s="7" t="s">
        <v>736</v>
      </c>
      <c r="F39" s="7"/>
      <c r="G39" s="722"/>
      <c r="I39" s="1061"/>
      <c r="J39" s="484" t="e">
        <f>I39/'Input Page'!$E$181</f>
        <v>#DIV/0!</v>
      </c>
      <c r="K39" s="1005"/>
      <c r="L39" s="500"/>
      <c r="M39" s="500"/>
      <c r="N39" s="484">
        <f t="shared" si="5"/>
        <v>0</v>
      </c>
      <c r="O39" s="500"/>
      <c r="P39" s="484"/>
      <c r="Q39" s="500"/>
      <c r="R39" s="582">
        <f t="shared" si="3"/>
        <v>0</v>
      </c>
      <c r="S39" s="1027"/>
      <c r="T39" s="101"/>
      <c r="U39" s="101"/>
    </row>
    <row r="40" spans="1:30">
      <c r="A40" s="27"/>
      <c r="C40" s="7" t="s">
        <v>737</v>
      </c>
      <c r="F40" s="7"/>
      <c r="G40" s="722"/>
      <c r="I40" s="1061"/>
      <c r="J40" s="484" t="e">
        <f>I40/'Input Page'!$E$181</f>
        <v>#DIV/0!</v>
      </c>
      <c r="K40" s="1005"/>
      <c r="L40" s="500"/>
      <c r="M40" s="500"/>
      <c r="N40" s="484">
        <f t="shared" si="5"/>
        <v>0</v>
      </c>
      <c r="O40" s="500"/>
      <c r="P40" s="484"/>
      <c r="Q40" s="500"/>
      <c r="R40" s="582">
        <f t="shared" si="3"/>
        <v>0</v>
      </c>
      <c r="S40" s="1027" t="s">
        <v>738</v>
      </c>
      <c r="T40" s="101"/>
      <c r="U40" s="101"/>
    </row>
    <row r="41" spans="1:30">
      <c r="A41" s="27"/>
      <c r="C41" s="7" t="s">
        <v>739</v>
      </c>
      <c r="F41" s="7"/>
      <c r="G41" s="722"/>
      <c r="I41" s="1061"/>
      <c r="J41" s="484" t="e">
        <f>I41/'Input Page'!$E$181</f>
        <v>#DIV/0!</v>
      </c>
      <c r="K41" s="1005"/>
      <c r="L41" s="500"/>
      <c r="M41" s="500"/>
      <c r="N41" s="484">
        <f t="shared" si="5"/>
        <v>0</v>
      </c>
      <c r="O41" s="500"/>
      <c r="P41" s="484"/>
      <c r="Q41" s="500"/>
      <c r="R41" s="582">
        <f t="shared" si="3"/>
        <v>0</v>
      </c>
      <c r="S41" s="1027"/>
      <c r="T41" s="101"/>
      <c r="U41" s="101"/>
    </row>
    <row r="42" spans="1:30">
      <c r="A42" s="27"/>
      <c r="C42" s="7" t="s">
        <v>740</v>
      </c>
      <c r="F42" s="7"/>
      <c r="G42" s="722"/>
      <c r="I42" s="483"/>
      <c r="J42" s="484" t="e">
        <f>I42/'Input Page'!$E$181</f>
        <v>#DIV/0!</v>
      </c>
      <c r="K42" s="1005"/>
      <c r="L42" s="500"/>
      <c r="M42" s="500"/>
      <c r="N42" s="484">
        <f t="shared" si="5"/>
        <v>0</v>
      </c>
      <c r="O42" s="500"/>
      <c r="P42" s="484"/>
      <c r="Q42" s="500"/>
      <c r="R42" s="582">
        <f t="shared" si="3"/>
        <v>0</v>
      </c>
      <c r="S42" s="1027"/>
      <c r="T42" s="101"/>
      <c r="U42" s="101"/>
    </row>
    <row r="43" spans="1:30">
      <c r="A43" s="27"/>
      <c r="C43" s="7" t="s">
        <v>741</v>
      </c>
      <c r="F43" s="7"/>
      <c r="G43" s="722"/>
      <c r="I43" s="1061">
        <v>0</v>
      </c>
      <c r="J43" s="484" t="e">
        <f>I43/'Input Page'!$E$181</f>
        <v>#DIV/0!</v>
      </c>
      <c r="K43" s="1005"/>
      <c r="L43" s="500"/>
      <c r="M43" s="500"/>
      <c r="N43" s="484">
        <f t="shared" si="5"/>
        <v>0</v>
      </c>
      <c r="O43" s="500"/>
      <c r="P43" s="484"/>
      <c r="Q43" s="500"/>
      <c r="R43" s="582">
        <f t="shared" si="3"/>
        <v>0</v>
      </c>
      <c r="S43" s="1027"/>
      <c r="T43" s="101"/>
      <c r="U43" s="101"/>
    </row>
    <row r="44" spans="1:30">
      <c r="A44" s="27"/>
      <c r="C44" s="7" t="s">
        <v>742</v>
      </c>
      <c r="F44" s="7"/>
      <c r="G44" s="722"/>
      <c r="I44" s="1061">
        <v>0</v>
      </c>
      <c r="J44" s="484" t="e">
        <f>I44/'Input Page'!$E$181</f>
        <v>#DIV/0!</v>
      </c>
      <c r="K44" s="1005"/>
      <c r="L44" s="500"/>
      <c r="M44" s="500"/>
      <c r="N44" s="484">
        <f t="shared" si="5"/>
        <v>0</v>
      </c>
      <c r="O44" s="500"/>
      <c r="P44" s="484"/>
      <c r="Q44" s="500"/>
      <c r="R44" s="582">
        <f>I44</f>
        <v>0</v>
      </c>
      <c r="S44" s="1027"/>
      <c r="T44" s="101"/>
      <c r="U44" s="101"/>
    </row>
    <row r="45" spans="1:30">
      <c r="A45" s="27"/>
      <c r="C45" s="7" t="s">
        <v>743</v>
      </c>
      <c r="F45" s="7"/>
      <c r="G45" s="722"/>
      <c r="I45" s="1061">
        <v>0</v>
      </c>
      <c r="J45" s="484" t="e">
        <f>I45/'Input Page'!$E$181</f>
        <v>#DIV/0!</v>
      </c>
      <c r="K45" s="1005"/>
      <c r="L45" s="500"/>
      <c r="M45" s="500"/>
      <c r="N45" s="484">
        <f t="shared" si="5"/>
        <v>0</v>
      </c>
      <c r="O45" s="500"/>
      <c r="P45" s="484"/>
      <c r="Q45" s="500"/>
      <c r="R45" s="582">
        <f>I45</f>
        <v>0</v>
      </c>
      <c r="S45" s="1027"/>
      <c r="T45" s="101"/>
      <c r="U45" s="101"/>
      <c r="AD45" s="485">
        <f>-I45</f>
        <v>0</v>
      </c>
    </row>
    <row r="46" spans="1:30">
      <c r="A46" s="27"/>
      <c r="C46" s="7" t="s">
        <v>744</v>
      </c>
      <c r="F46" s="435"/>
      <c r="G46" s="722"/>
      <c r="I46" s="483">
        <f>F46*'Input Page'!$E$181</f>
        <v>0</v>
      </c>
      <c r="J46" s="484" t="e">
        <f>I46/'Input Page'!$E$181</f>
        <v>#DIV/0!</v>
      </c>
      <c r="K46" s="1005"/>
      <c r="L46" s="500"/>
      <c r="M46" s="500"/>
      <c r="N46" s="484"/>
      <c r="O46" s="500"/>
      <c r="P46" s="484"/>
      <c r="Q46" s="500"/>
      <c r="R46" s="582">
        <f>I46</f>
        <v>0</v>
      </c>
      <c r="S46" s="1027" t="s">
        <v>745</v>
      </c>
      <c r="T46" s="101"/>
      <c r="U46" s="101"/>
      <c r="AD46" s="485">
        <f t="shared" ref="AD46:AD47" si="6">-I46</f>
        <v>0</v>
      </c>
    </row>
    <row r="47" spans="1:30">
      <c r="A47" s="27"/>
      <c r="C47" s="7" t="s">
        <v>746</v>
      </c>
      <c r="F47" s="1203"/>
      <c r="G47" s="722"/>
      <c r="I47" s="1061">
        <v>0</v>
      </c>
      <c r="J47" s="484" t="e">
        <f>I47/'Input Page'!$E$181</f>
        <v>#DIV/0!</v>
      </c>
      <c r="K47" s="1005"/>
      <c r="L47" s="500"/>
      <c r="M47" s="500"/>
      <c r="N47" s="484">
        <f>R47</f>
        <v>0</v>
      </c>
      <c r="O47" s="500"/>
      <c r="P47" s="484"/>
      <c r="Q47" s="500"/>
      <c r="R47" s="582">
        <f>I47</f>
        <v>0</v>
      </c>
      <c r="S47" s="1027" t="s">
        <v>747</v>
      </c>
      <c r="T47" s="101"/>
      <c r="U47" s="101"/>
      <c r="AD47" s="485">
        <f t="shared" si="6"/>
        <v>0</v>
      </c>
    </row>
    <row r="48" spans="1:30">
      <c r="A48" s="27"/>
      <c r="C48" s="7" t="s">
        <v>748</v>
      </c>
      <c r="F48" s="7"/>
      <c r="G48" s="722"/>
      <c r="I48" s="1061">
        <v>0</v>
      </c>
      <c r="J48" s="484" t="e">
        <f>I48/'Input Page'!$E$181</f>
        <v>#DIV/0!</v>
      </c>
      <c r="K48" s="1005"/>
      <c r="L48" s="500"/>
      <c r="M48" s="500"/>
      <c r="N48" s="484">
        <f>R48</f>
        <v>0</v>
      </c>
      <c r="O48" s="500"/>
      <c r="P48" s="484"/>
      <c r="Q48" s="500"/>
      <c r="R48" s="582">
        <f>I48</f>
        <v>0</v>
      </c>
      <c r="S48" s="1027"/>
      <c r="T48" s="101"/>
      <c r="U48" s="101"/>
    </row>
    <row r="49" spans="1:45">
      <c r="A49" s="27"/>
      <c r="C49" s="7" t="s">
        <v>748</v>
      </c>
      <c r="G49" s="722"/>
      <c r="I49" s="1061">
        <v>0</v>
      </c>
      <c r="J49" s="484" t="e">
        <f>I49/'Input Page'!$E$181</f>
        <v>#DIV/0!</v>
      </c>
      <c r="K49" s="1005"/>
      <c r="L49" s="500"/>
      <c r="M49" s="500"/>
      <c r="N49" s="742">
        <f>R49</f>
        <v>0</v>
      </c>
      <c r="O49" s="500"/>
      <c r="P49" s="742"/>
      <c r="Q49" s="500"/>
      <c r="R49" s="582">
        <f t="shared" si="3"/>
        <v>0</v>
      </c>
      <c r="S49" s="1027"/>
      <c r="T49" s="101"/>
      <c r="U49" s="101"/>
    </row>
    <row r="50" spans="1:45" s="24" customFormat="1">
      <c r="A50" s="35"/>
      <c r="B50" s="24" t="s">
        <v>749</v>
      </c>
      <c r="F50" s="1400"/>
      <c r="G50" s="722"/>
      <c r="I50" s="738">
        <f>SUM(I29:I49)</f>
        <v>0</v>
      </c>
      <c r="J50" s="738" t="e">
        <f>SUM(J29:J49)</f>
        <v>#DIV/0!</v>
      </c>
      <c r="K50" s="1006"/>
      <c r="L50" s="738">
        <f>SUM(L29:L49)</f>
        <v>0</v>
      </c>
      <c r="M50" s="733"/>
      <c r="N50" s="732">
        <f>SUM(N29:N49)</f>
        <v>0</v>
      </c>
      <c r="O50" s="733"/>
      <c r="P50" s="732">
        <f>SUM(P29:P49)</f>
        <v>0</v>
      </c>
      <c r="Q50" s="733"/>
      <c r="R50" s="739">
        <f>SUM(R29:R49)</f>
        <v>0</v>
      </c>
      <c r="S50" s="1027"/>
      <c r="T50" s="107"/>
      <c r="U50" s="107"/>
      <c r="X50" s="7"/>
      <c r="Y50" s="7"/>
      <c r="Z50" s="7"/>
      <c r="AA50" s="7"/>
      <c r="AB50" s="7"/>
      <c r="AC50" s="7"/>
      <c r="AD50" s="485">
        <f>I50</f>
        <v>0</v>
      </c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1:45" s="24" customFormat="1">
      <c r="A51" s="35"/>
      <c r="F51" s="1400"/>
      <c r="G51" s="722"/>
      <c r="I51" s="733"/>
      <c r="J51" s="732"/>
      <c r="K51" s="1006"/>
      <c r="L51" s="733"/>
      <c r="M51" s="733"/>
      <c r="N51" s="732"/>
      <c r="O51" s="733"/>
      <c r="P51" s="732"/>
      <c r="Q51" s="733"/>
      <c r="R51" s="734"/>
      <c r="S51" s="1027"/>
      <c r="T51" s="107"/>
      <c r="U51" s="107"/>
      <c r="X51" s="7"/>
      <c r="Y51" s="7"/>
      <c r="Z51" s="7"/>
      <c r="AA51" s="7"/>
      <c r="AB51" s="7"/>
      <c r="AC51" s="7"/>
      <c r="AD51" s="15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5" s="24" customFormat="1">
      <c r="A52" s="35" t="s">
        <v>750</v>
      </c>
      <c r="C52" s="7"/>
      <c r="F52" s="1400"/>
      <c r="G52" s="722"/>
      <c r="I52" s="733"/>
      <c r="J52" s="732"/>
      <c r="K52" s="1006"/>
      <c r="L52" s="733"/>
      <c r="M52" s="733"/>
      <c r="N52" s="732"/>
      <c r="O52" s="733"/>
      <c r="P52" s="732"/>
      <c r="Q52" s="733"/>
      <c r="R52" s="734"/>
      <c r="S52" s="1027"/>
      <c r="T52" s="107"/>
      <c r="U52" s="107"/>
      <c r="W52" s="541"/>
      <c r="X52" s="371"/>
      <c r="Y52" s="371"/>
      <c r="Z52" s="542" t="s">
        <v>751</v>
      </c>
      <c r="AA52" s="543"/>
      <c r="AB52" s="544"/>
      <c r="AC52" s="7"/>
      <c r="AD52" s="15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5" s="24" customFormat="1">
      <c r="A53" s="35"/>
      <c r="B53" s="107" t="s">
        <v>752</v>
      </c>
      <c r="C53" s="7"/>
      <c r="F53" s="1400"/>
      <c r="G53" s="722"/>
      <c r="I53" s="733"/>
      <c r="J53" s="732"/>
      <c r="K53" s="1006"/>
      <c r="L53" s="733"/>
      <c r="M53" s="733"/>
      <c r="N53" s="732"/>
      <c r="O53" s="733"/>
      <c r="P53" s="732"/>
      <c r="Q53" s="733"/>
      <c r="R53" s="734"/>
      <c r="S53" s="1027"/>
      <c r="T53" s="107"/>
      <c r="U53" s="107"/>
      <c r="W53" s="35"/>
      <c r="X53" s="7"/>
      <c r="Y53" s="691" t="s">
        <v>753</v>
      </c>
      <c r="Z53" s="545" t="e">
        <f>MIN('LIHTC Debt'!$C$39,'LIHTC Debt'!$C$40)</f>
        <v>#DIV/0!</v>
      </c>
      <c r="AA53" s="87"/>
      <c r="AB53" s="546"/>
      <c r="AC53" s="7"/>
      <c r="AD53" s="15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1:45" s="24" customFormat="1">
      <c r="A54" s="35"/>
      <c r="B54" s="107"/>
      <c r="C54" s="7" t="s">
        <v>754</v>
      </c>
      <c r="F54" s="1400"/>
      <c r="G54" s="722" t="e">
        <f>'Construction S&amp;U'!AG58-I103</f>
        <v>#DIV/0!</v>
      </c>
      <c r="I54" s="483"/>
      <c r="J54" s="484" t="e">
        <f>I54/'Input Page'!$E$181</f>
        <v>#DIV/0!</v>
      </c>
      <c r="K54" s="1006"/>
      <c r="L54" s="500">
        <f>I54-R54</f>
        <v>0</v>
      </c>
      <c r="M54" s="733"/>
      <c r="N54" s="484">
        <f>I54-R54</f>
        <v>0</v>
      </c>
      <c r="O54" s="732"/>
      <c r="P54" s="732"/>
      <c r="Q54" s="732"/>
      <c r="R54" s="491">
        <f>I54*0.4</f>
        <v>0</v>
      </c>
      <c r="S54" s="1027" t="s">
        <v>755</v>
      </c>
      <c r="T54" s="107"/>
      <c r="U54" s="107"/>
      <c r="W54" s="35"/>
      <c r="X54" s="7"/>
      <c r="Y54" s="691" t="s">
        <v>756</v>
      </c>
      <c r="Z54" s="484">
        <f>'Timing-Leasing-TC Delivery'!$H$8</f>
        <v>1</v>
      </c>
      <c r="AB54" s="546"/>
      <c r="AC54" s="7"/>
      <c r="AD54" s="485">
        <f>I54</f>
        <v>0</v>
      </c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5" s="24" customFormat="1">
      <c r="A55" s="35"/>
      <c r="B55" s="107"/>
      <c r="C55" s="7" t="s">
        <v>757</v>
      </c>
      <c r="F55" s="129">
        <v>5.0000000000000001E-3</v>
      </c>
      <c r="G55" s="722" t="e">
        <f>F55*'Construction S&amp;U'!$AG$22</f>
        <v>#DIV/0!</v>
      </c>
      <c r="I55" s="483"/>
      <c r="J55" s="484" t="e">
        <f>I55/'Input Page'!$E$181</f>
        <v>#DIV/0!</v>
      </c>
      <c r="K55" s="1006"/>
      <c r="L55" s="500"/>
      <c r="M55" s="733"/>
      <c r="N55" s="484">
        <f t="shared" ref="N55:N61" si="7">R55</f>
        <v>0</v>
      </c>
      <c r="O55" s="733"/>
      <c r="P55" s="732"/>
      <c r="Q55" s="733"/>
      <c r="R55" s="582">
        <f t="shared" ref="R55:R61" si="8">I55</f>
        <v>0</v>
      </c>
      <c r="S55" s="1027" t="s">
        <v>758</v>
      </c>
      <c r="T55" s="107"/>
      <c r="U55" s="107"/>
      <c r="W55" s="35"/>
      <c r="X55" s="7"/>
      <c r="Y55" s="691" t="s">
        <v>267</v>
      </c>
      <c r="Z55" s="547">
        <f>'LIHTC Debt'!$C$29</f>
        <v>0</v>
      </c>
      <c r="AA55" s="87"/>
      <c r="AB55" s="546"/>
      <c r="AC55" s="7"/>
      <c r="AD55" s="485">
        <f t="shared" ref="AD55:AD59" si="9">I55</f>
        <v>0</v>
      </c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5" s="24" customFormat="1">
      <c r="A56" s="35"/>
      <c r="B56" s="107"/>
      <c r="C56" s="7" t="s">
        <v>759</v>
      </c>
      <c r="F56" s="1400"/>
      <c r="G56" s="722"/>
      <c r="I56" s="483">
        <v>0</v>
      </c>
      <c r="J56" s="484" t="e">
        <f>I56/'Input Page'!$E$181</f>
        <v>#DIV/0!</v>
      </c>
      <c r="K56" s="1006"/>
      <c r="L56" s="500"/>
      <c r="M56" s="733"/>
      <c r="N56" s="484">
        <f t="shared" si="7"/>
        <v>0</v>
      </c>
      <c r="O56" s="733"/>
      <c r="P56" s="732"/>
      <c r="Q56" s="733"/>
      <c r="R56" s="582">
        <f t="shared" si="8"/>
        <v>0</v>
      </c>
      <c r="S56" s="1027"/>
      <c r="T56" s="107"/>
      <c r="U56" s="107"/>
      <c r="W56" s="548"/>
      <c r="X56" s="226"/>
      <c r="Y56" s="549" t="s">
        <v>760</v>
      </c>
      <c r="Z56" s="550" t="e">
        <f>((((Z53*0.5)*Z55)/12)*(Z54+2))</f>
        <v>#DIV/0!</v>
      </c>
      <c r="AA56" s="382"/>
      <c r="AB56" s="551"/>
      <c r="AC56" s="7"/>
      <c r="AD56" s="485">
        <f t="shared" si="9"/>
        <v>0</v>
      </c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1:45" s="24" customFormat="1">
      <c r="A57" s="35"/>
      <c r="B57" s="107"/>
      <c r="C57" s="7" t="s">
        <v>761</v>
      </c>
      <c r="F57" s="1400"/>
      <c r="G57" s="722"/>
      <c r="I57" s="1061">
        <v>0</v>
      </c>
      <c r="J57" s="484" t="e">
        <f>I57/'Input Page'!$E$181</f>
        <v>#DIV/0!</v>
      </c>
      <c r="K57" s="1006"/>
      <c r="L57" s="500"/>
      <c r="M57" s="733"/>
      <c r="N57" s="484">
        <f t="shared" si="7"/>
        <v>0</v>
      </c>
      <c r="O57" s="733"/>
      <c r="P57" s="732"/>
      <c r="Q57" s="733"/>
      <c r="R57" s="582">
        <f t="shared" si="8"/>
        <v>0</v>
      </c>
      <c r="S57" s="1027"/>
      <c r="T57" s="107"/>
      <c r="U57" s="107"/>
      <c r="W57" s="7" t="s">
        <v>762</v>
      </c>
      <c r="X57" s="7"/>
      <c r="Y57" s="7"/>
      <c r="Z57" s="15"/>
      <c r="AA57" s="7"/>
      <c r="AB57" s="7"/>
      <c r="AC57" s="7"/>
      <c r="AD57" s="485">
        <f t="shared" si="9"/>
        <v>0</v>
      </c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</row>
    <row r="58" spans="1:45" s="24" customFormat="1">
      <c r="A58" s="35"/>
      <c r="B58" s="107"/>
      <c r="C58" s="7" t="s">
        <v>763</v>
      </c>
      <c r="F58" s="1400"/>
      <c r="G58" s="722"/>
      <c r="I58" s="1061">
        <v>0</v>
      </c>
      <c r="J58" s="484" t="e">
        <f>I58/'Input Page'!$E$181</f>
        <v>#DIV/0!</v>
      </c>
      <c r="K58" s="1006"/>
      <c r="L58" s="500"/>
      <c r="M58" s="733"/>
      <c r="N58" s="484">
        <f t="shared" si="7"/>
        <v>0</v>
      </c>
      <c r="O58" s="733"/>
      <c r="P58" s="732"/>
      <c r="Q58" s="733"/>
      <c r="R58" s="582">
        <f t="shared" si="8"/>
        <v>0</v>
      </c>
      <c r="S58" s="1027" t="s">
        <v>764</v>
      </c>
      <c r="T58" s="107"/>
      <c r="U58" s="107"/>
      <c r="W58" s="7" t="s">
        <v>765</v>
      </c>
      <c r="X58" s="7"/>
      <c r="Y58" s="7"/>
      <c r="Z58" s="15"/>
      <c r="AA58" s="7"/>
      <c r="AB58" s="7"/>
      <c r="AC58" s="7"/>
      <c r="AD58" s="485">
        <f t="shared" si="9"/>
        <v>0</v>
      </c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1:45" s="24" customFormat="1">
      <c r="A59" s="35"/>
      <c r="B59" s="107"/>
      <c r="C59" s="7" t="s">
        <v>766</v>
      </c>
      <c r="F59" s="1400"/>
      <c r="G59" s="722"/>
      <c r="I59" s="483">
        <v>0</v>
      </c>
      <c r="J59" s="484" t="e">
        <f>I59/'Input Page'!$E$181</f>
        <v>#DIV/0!</v>
      </c>
      <c r="K59" s="1006"/>
      <c r="L59" s="500"/>
      <c r="M59" s="733"/>
      <c r="N59" s="484">
        <f t="shared" si="7"/>
        <v>0</v>
      </c>
      <c r="O59" s="733"/>
      <c r="P59" s="732"/>
      <c r="Q59" s="733"/>
      <c r="R59" s="582">
        <f t="shared" si="8"/>
        <v>0</v>
      </c>
      <c r="S59" s="1027"/>
      <c r="T59" s="107"/>
      <c r="U59" s="107"/>
      <c r="W59" s="7" t="s">
        <v>767</v>
      </c>
      <c r="X59" s="7"/>
      <c r="Y59" s="7"/>
      <c r="Z59" s="15"/>
      <c r="AA59" s="7"/>
      <c r="AB59" s="7"/>
      <c r="AC59" s="7"/>
      <c r="AD59" s="485">
        <f t="shared" si="9"/>
        <v>0</v>
      </c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1:45" s="24" customFormat="1">
      <c r="A60" s="35"/>
      <c r="B60" s="107"/>
      <c r="C60" s="7" t="s">
        <v>768</v>
      </c>
      <c r="F60" s="1400"/>
      <c r="G60" s="722"/>
      <c r="I60" s="1061">
        <v>0</v>
      </c>
      <c r="J60" s="484" t="e">
        <f>I60/'Input Page'!$E$181</f>
        <v>#DIV/0!</v>
      </c>
      <c r="K60" s="1006"/>
      <c r="L60" s="500"/>
      <c r="M60" s="733"/>
      <c r="N60" s="484">
        <f t="shared" si="7"/>
        <v>0</v>
      </c>
      <c r="O60" s="733"/>
      <c r="P60" s="732"/>
      <c r="Q60" s="733"/>
      <c r="R60" s="582">
        <f t="shared" si="8"/>
        <v>0</v>
      </c>
      <c r="S60" s="1027"/>
      <c r="T60" s="107"/>
      <c r="U60" s="107"/>
      <c r="W60" s="541"/>
      <c r="X60" s="543"/>
      <c r="Y60" s="543"/>
      <c r="Z60" s="542" t="s">
        <v>769</v>
      </c>
      <c r="AA60" s="543"/>
      <c r="AB60" s="544"/>
      <c r="AC60" s="7"/>
      <c r="AD60" s="15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</row>
    <row r="61" spans="1:45" s="24" customFormat="1">
      <c r="A61" s="35"/>
      <c r="B61" s="107"/>
      <c r="C61" s="7" t="s">
        <v>770</v>
      </c>
      <c r="F61" s="1400"/>
      <c r="G61" s="722"/>
      <c r="I61" s="1061">
        <v>0</v>
      </c>
      <c r="J61" s="484" t="e">
        <f>I61/'Input Page'!$E$181</f>
        <v>#DIV/0!</v>
      </c>
      <c r="K61" s="1006"/>
      <c r="L61" s="500"/>
      <c r="M61" s="733"/>
      <c r="N61" s="484">
        <f t="shared" si="7"/>
        <v>0</v>
      </c>
      <c r="O61" s="733"/>
      <c r="P61" s="732"/>
      <c r="Q61" s="733"/>
      <c r="R61" s="582">
        <f t="shared" si="8"/>
        <v>0</v>
      </c>
      <c r="S61" s="1027"/>
      <c r="T61" s="107"/>
      <c r="U61" s="107"/>
      <c r="W61" s="35"/>
      <c r="X61" s="691" t="s">
        <v>771</v>
      </c>
      <c r="Y61" s="488">
        <v>7.0000000000000001E-3</v>
      </c>
      <c r="Z61" s="482" t="e">
        <f>MIN('LIHTC Debt'!$C$39,'LIHTC Debt'!$C$40)*'Development Costs'!Y61</f>
        <v>#DIV/0!</v>
      </c>
      <c r="AA61" s="87"/>
      <c r="AB61" s="546"/>
      <c r="AC61" s="7"/>
      <c r="AD61" s="15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</row>
    <row r="62" spans="1:45" s="24" customFormat="1">
      <c r="A62" s="35"/>
      <c r="B62" s="107"/>
      <c r="C62" s="7"/>
      <c r="F62" s="1400"/>
      <c r="G62" s="722"/>
      <c r="I62" s="733"/>
      <c r="J62" s="484"/>
      <c r="K62" s="1006"/>
      <c r="L62" s="500"/>
      <c r="M62" s="733"/>
      <c r="N62" s="484"/>
      <c r="O62" s="733"/>
      <c r="P62" s="732"/>
      <c r="Q62" s="733"/>
      <c r="R62" s="734"/>
      <c r="S62" s="1027"/>
      <c r="T62" s="107"/>
      <c r="U62" s="107"/>
      <c r="W62" s="35"/>
      <c r="X62" s="691" t="s">
        <v>772</v>
      </c>
      <c r="Y62" s="488">
        <v>3.0000000000000001E-3</v>
      </c>
      <c r="Z62" s="485" t="e">
        <f>MIN('LIHTC Debt'!$C$39,'LIHTC Debt'!$C$40)*'Development Costs'!Y62</f>
        <v>#DIV/0!</v>
      </c>
      <c r="AA62" s="87"/>
      <c r="AB62" s="546"/>
      <c r="AC62" s="7"/>
      <c r="AD62" s="15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</row>
    <row r="63" spans="1:45" s="24" customFormat="1">
      <c r="A63" s="35"/>
      <c r="B63" s="107" t="s">
        <v>773</v>
      </c>
      <c r="C63" s="7"/>
      <c r="F63" s="1400"/>
      <c r="G63" s="722"/>
      <c r="I63" s="733"/>
      <c r="J63" s="484"/>
      <c r="K63" s="1006"/>
      <c r="L63" s="500"/>
      <c r="M63" s="733"/>
      <c r="N63" s="732"/>
      <c r="O63" s="733"/>
      <c r="P63" s="732"/>
      <c r="Q63" s="733"/>
      <c r="R63" s="734"/>
      <c r="S63" s="1027"/>
      <c r="T63" s="107"/>
      <c r="U63" s="107"/>
      <c r="W63" s="35"/>
      <c r="X63" s="691" t="s">
        <v>774</v>
      </c>
      <c r="Y63" s="488">
        <v>5.7000000000000002E-3</v>
      </c>
      <c r="Z63" s="485" t="e">
        <f>MIN('LIHTC Debt'!$C$39,'LIHTC Debt'!$C$40)*'Development Costs'!Y63</f>
        <v>#DIV/0!</v>
      </c>
      <c r="AA63" s="87"/>
      <c r="AB63" s="546"/>
      <c r="AC63" s="7"/>
      <c r="AD63" s="15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1:45">
      <c r="A64" s="27"/>
      <c r="C64" s="7" t="s">
        <v>775</v>
      </c>
      <c r="E64" s="64"/>
      <c r="F64" s="1198">
        <v>0</v>
      </c>
      <c r="G64" s="722"/>
      <c r="H64" s="64"/>
      <c r="I64" s="1061" t="e">
        <f>F64*'LIHTC Exec Summary'!Q16</f>
        <v>#DIV/0!</v>
      </c>
      <c r="J64" s="484" t="e">
        <f>I64/'Input Page'!$E$181</f>
        <v>#DIV/0!</v>
      </c>
      <c r="K64" s="1007"/>
      <c r="L64" s="741" t="e">
        <f>I64</f>
        <v>#DIV/0!</v>
      </c>
      <c r="M64" s="743"/>
      <c r="N64" s="743"/>
      <c r="O64" s="743"/>
      <c r="P64" s="743"/>
      <c r="Q64" s="743"/>
      <c r="R64" s="744"/>
      <c r="S64" s="1027" t="s">
        <v>776</v>
      </c>
      <c r="T64" s="101"/>
      <c r="U64" s="101"/>
      <c r="W64" s="27"/>
      <c r="X64" s="691" t="s">
        <v>263</v>
      </c>
      <c r="Y64" s="488">
        <v>1.2500000000000001E-2</v>
      </c>
      <c r="Z64" s="485" t="e">
        <f>MIN('LIHTC Debt'!$C$39,'LIHTC Debt'!$C$40)*'Development Costs'!Y64</f>
        <v>#DIV/0!</v>
      </c>
      <c r="AA64" s="87"/>
      <c r="AB64" s="28"/>
      <c r="AS64" s="24"/>
    </row>
    <row r="65" spans="1:30">
      <c r="A65" s="27"/>
      <c r="C65" s="1" t="s">
        <v>777</v>
      </c>
      <c r="D65" s="1"/>
      <c r="E65" s="66"/>
      <c r="F65" s="1003">
        <v>0.01</v>
      </c>
      <c r="G65" s="725"/>
      <c r="H65" s="64"/>
      <c r="I65" s="741" t="e">
        <f>F65*'LIHTC Exec Summary'!Q16</f>
        <v>#DIV/0!</v>
      </c>
      <c r="J65" s="484" t="e">
        <f>I65/'Input Page'!$E$181</f>
        <v>#DIV/0!</v>
      </c>
      <c r="K65" s="1007"/>
      <c r="L65" s="741" t="e">
        <f>I65</f>
        <v>#DIV/0!</v>
      </c>
      <c r="M65" s="743"/>
      <c r="N65" s="743"/>
      <c r="O65" s="743"/>
      <c r="P65" s="743"/>
      <c r="Q65" s="743"/>
      <c r="R65" s="744"/>
      <c r="S65" s="1027" t="s">
        <v>778</v>
      </c>
      <c r="T65" s="101"/>
      <c r="U65" s="101"/>
      <c r="W65" s="27"/>
      <c r="X65" s="691" t="s">
        <v>779</v>
      </c>
      <c r="Y65" s="488">
        <v>2.0000000000000001E-4</v>
      </c>
      <c r="Z65" s="485" t="e">
        <f>MIN('LIHTC Debt'!$C$39,'LIHTC Debt'!$C$40)*'Development Costs'!Y65</f>
        <v>#DIV/0!</v>
      </c>
      <c r="AA65" s="87"/>
      <c r="AB65" s="28"/>
    </row>
    <row r="66" spans="1:30">
      <c r="A66" s="27"/>
      <c r="C66" s="1" t="s">
        <v>780</v>
      </c>
      <c r="D66" s="1"/>
      <c r="E66" s="66"/>
      <c r="F66" s="434">
        <v>600</v>
      </c>
      <c r="G66" s="726"/>
      <c r="H66" s="64"/>
      <c r="I66" s="484">
        <f>F66*'Input Page'!$E$181</f>
        <v>0</v>
      </c>
      <c r="J66" s="484" t="e">
        <f>I66/'Input Page'!$E$181</f>
        <v>#DIV/0!</v>
      </c>
      <c r="K66" s="1007"/>
      <c r="L66" s="741">
        <f t="shared" ref="L66:L71" si="10">I66</f>
        <v>0</v>
      </c>
      <c r="M66" s="743"/>
      <c r="N66" s="743"/>
      <c r="O66" s="743"/>
      <c r="P66" s="743"/>
      <c r="Q66" s="743"/>
      <c r="R66" s="744"/>
      <c r="S66" s="1027" t="s">
        <v>778</v>
      </c>
      <c r="T66" s="101"/>
      <c r="U66" s="101"/>
      <c r="W66" s="27"/>
      <c r="X66" s="691"/>
      <c r="Y66" s="426"/>
      <c r="Z66" s="485"/>
      <c r="AB66" s="28"/>
    </row>
    <row r="67" spans="1:30">
      <c r="A67" s="27"/>
      <c r="C67" s="7" t="s">
        <v>781</v>
      </c>
      <c r="D67" s="1"/>
      <c r="E67" s="66"/>
      <c r="F67" s="67"/>
      <c r="G67" s="726"/>
      <c r="H67" s="64"/>
      <c r="I67" s="483">
        <v>0</v>
      </c>
      <c r="J67" s="484" t="e">
        <f>I67/'Input Page'!$E$181</f>
        <v>#DIV/0!</v>
      </c>
      <c r="K67" s="1007"/>
      <c r="L67" s="741">
        <f t="shared" si="10"/>
        <v>0</v>
      </c>
      <c r="M67" s="743"/>
      <c r="N67" s="743"/>
      <c r="O67" s="743"/>
      <c r="P67" s="743"/>
      <c r="Q67" s="743"/>
      <c r="R67" s="744"/>
      <c r="S67" s="1027"/>
      <c r="T67" s="101"/>
      <c r="U67" s="101"/>
      <c r="W67" s="1194" t="s">
        <v>782</v>
      </c>
      <c r="X67" s="1195"/>
      <c r="Y67" s="1196"/>
      <c r="Z67" s="1047"/>
      <c r="AB67" s="28"/>
    </row>
    <row r="68" spans="1:30">
      <c r="A68" s="27"/>
      <c r="C68" s="7" t="s">
        <v>783</v>
      </c>
      <c r="D68" s="1"/>
      <c r="E68" s="66"/>
      <c r="F68" s="67"/>
      <c r="G68" s="726"/>
      <c r="H68" s="64"/>
      <c r="I68" s="483">
        <v>0</v>
      </c>
      <c r="J68" s="484" t="e">
        <f>I68/'Input Page'!$E$181</f>
        <v>#DIV/0!</v>
      </c>
      <c r="K68" s="1007"/>
      <c r="L68" s="741">
        <f t="shared" si="10"/>
        <v>0</v>
      </c>
      <c r="M68" s="743"/>
      <c r="N68" s="743"/>
      <c r="O68" s="743"/>
      <c r="P68" s="743"/>
      <c r="Q68" s="743"/>
      <c r="R68" s="744"/>
      <c r="S68" s="1027" t="s">
        <v>784</v>
      </c>
      <c r="T68" s="101"/>
      <c r="U68" s="101"/>
      <c r="W68" s="1193" t="s">
        <v>785</v>
      </c>
      <c r="X68" s="552"/>
      <c r="Y68" s="532"/>
      <c r="Z68" s="553" t="e">
        <f>SUM(Z61:Z67)</f>
        <v>#DIV/0!</v>
      </c>
      <c r="AA68" s="226"/>
      <c r="AB68" s="381"/>
    </row>
    <row r="69" spans="1:30">
      <c r="A69" s="27"/>
      <c r="C69" s="7" t="s">
        <v>763</v>
      </c>
      <c r="D69" s="1"/>
      <c r="E69" s="66"/>
      <c r="F69" s="67"/>
      <c r="G69" s="726"/>
      <c r="H69" s="64"/>
      <c r="I69" s="483"/>
      <c r="J69" s="484" t="e">
        <f>I69/'Input Page'!$E$181</f>
        <v>#DIV/0!</v>
      </c>
      <c r="K69" s="1007"/>
      <c r="L69" s="741">
        <f t="shared" si="10"/>
        <v>0</v>
      </c>
      <c r="M69" s="743"/>
      <c r="N69" s="743"/>
      <c r="O69" s="743"/>
      <c r="P69" s="743"/>
      <c r="Q69" s="743"/>
      <c r="R69" s="744"/>
      <c r="S69" s="1027" t="s">
        <v>786</v>
      </c>
      <c r="T69" s="101"/>
      <c r="U69" s="101"/>
    </row>
    <row r="70" spans="1:30">
      <c r="A70" s="27"/>
      <c r="C70" s="7" t="s">
        <v>787</v>
      </c>
      <c r="D70" s="1"/>
      <c r="E70" s="66"/>
      <c r="F70" s="67"/>
      <c r="G70" s="726"/>
      <c r="H70" s="64"/>
      <c r="I70" s="483">
        <v>0</v>
      </c>
      <c r="J70" s="484" t="e">
        <f>I70/'Input Page'!$E$181</f>
        <v>#DIV/0!</v>
      </c>
      <c r="K70" s="1007"/>
      <c r="L70" s="741">
        <f t="shared" si="10"/>
        <v>0</v>
      </c>
      <c r="M70" s="743"/>
      <c r="N70" s="743"/>
      <c r="O70" s="743"/>
      <c r="P70" s="743"/>
      <c r="Q70" s="743"/>
      <c r="R70" s="744"/>
      <c r="S70" s="1027" t="s">
        <v>788</v>
      </c>
      <c r="T70" s="101"/>
      <c r="U70" s="101"/>
    </row>
    <row r="71" spans="1:30">
      <c r="A71" s="27"/>
      <c r="C71" s="7" t="s">
        <v>789</v>
      </c>
      <c r="D71" s="1"/>
      <c r="E71" s="66"/>
      <c r="F71" s="1240">
        <f>IF(OR('Input Page'!F122="HUD 221 (D)(4)",'Input Page'!F122="HUD 223(f)"),Z68,0)</f>
        <v>0</v>
      </c>
      <c r="G71" s="726"/>
      <c r="H71" s="64"/>
      <c r="I71" s="484"/>
      <c r="J71" s="484" t="e">
        <f>I71/'Input Page'!$E$181</f>
        <v>#DIV/0!</v>
      </c>
      <c r="K71" s="1007"/>
      <c r="L71" s="741">
        <f t="shared" si="10"/>
        <v>0</v>
      </c>
      <c r="M71" s="743"/>
      <c r="N71" s="743"/>
      <c r="O71" s="743"/>
      <c r="P71" s="743"/>
      <c r="Q71" s="743"/>
      <c r="R71" s="744"/>
      <c r="S71" s="1027" t="s">
        <v>790</v>
      </c>
      <c r="T71" s="101"/>
      <c r="U71" s="101"/>
    </row>
    <row r="72" spans="1:30">
      <c r="A72" s="27"/>
      <c r="C72" s="7" t="s">
        <v>791</v>
      </c>
      <c r="E72" s="64"/>
      <c r="F72" s="1199">
        <f>IF(OR('Input Page'!$F$122="HUD 221 (D)(4)",'Input Page'!$F$122="HUD 223(f)"),0.01,0)</f>
        <v>0</v>
      </c>
      <c r="G72" s="722"/>
      <c r="H72" s="64"/>
      <c r="I72" s="741" t="e">
        <f>F72*'LIHTC Exec Summary'!$Q$16</f>
        <v>#DIV/0!</v>
      </c>
      <c r="J72" s="484" t="e">
        <f>I72/'Input Page'!$E$181</f>
        <v>#DIV/0!</v>
      </c>
      <c r="K72" s="1007"/>
      <c r="L72" s="741" t="e">
        <f>I72</f>
        <v>#DIV/0!</v>
      </c>
      <c r="M72" s="743"/>
      <c r="N72" s="743"/>
      <c r="O72" s="743"/>
      <c r="P72" s="743"/>
      <c r="Q72" s="743"/>
      <c r="R72" s="744"/>
      <c r="S72" s="1027" t="s">
        <v>792</v>
      </c>
      <c r="T72" s="101"/>
      <c r="U72" s="101"/>
    </row>
    <row r="73" spans="1:30">
      <c r="A73" s="27"/>
      <c r="C73" s="7" t="s">
        <v>793</v>
      </c>
      <c r="E73" s="64"/>
      <c r="F73" s="1201">
        <v>0.01</v>
      </c>
      <c r="G73" s="722" t="e">
        <f>F73*'Construction S&amp;U'!$AG$22</f>
        <v>#DIV/0!</v>
      </c>
      <c r="H73" s="64"/>
      <c r="I73" s="483"/>
      <c r="J73" s="484" t="e">
        <f>I73/'Input Page'!$E$181</f>
        <v>#DIV/0!</v>
      </c>
      <c r="K73" s="1007"/>
      <c r="L73" s="741">
        <f>I73</f>
        <v>0</v>
      </c>
      <c r="M73" s="743"/>
      <c r="N73" s="743"/>
      <c r="O73" s="743"/>
      <c r="P73" s="743"/>
      <c r="Q73" s="743"/>
      <c r="R73" s="744"/>
      <c r="S73" s="1027"/>
      <c r="T73" s="101"/>
      <c r="U73" s="101"/>
    </row>
    <row r="74" spans="1:30">
      <c r="A74" s="27"/>
      <c r="C74" s="7" t="s">
        <v>794</v>
      </c>
      <c r="E74" s="64"/>
      <c r="F74" s="1200">
        <v>400</v>
      </c>
      <c r="G74" s="722"/>
      <c r="H74" s="64"/>
      <c r="I74" s="741">
        <f>F74*'Input Page'!$E$181</f>
        <v>0</v>
      </c>
      <c r="J74" s="484" t="e">
        <f>I74/'Input Page'!$E$181</f>
        <v>#DIV/0!</v>
      </c>
      <c r="K74" s="1007"/>
      <c r="L74" s="741">
        <f>I74</f>
        <v>0</v>
      </c>
      <c r="M74" s="743"/>
      <c r="N74" s="743"/>
      <c r="O74" s="743"/>
      <c r="P74" s="743"/>
      <c r="Q74" s="743"/>
      <c r="R74" s="744"/>
      <c r="S74" s="1027" t="s">
        <v>795</v>
      </c>
      <c r="T74" s="101"/>
      <c r="U74" s="101"/>
    </row>
    <row r="75" spans="1:30">
      <c r="A75" s="27"/>
      <c r="C75" s="7" t="s">
        <v>796</v>
      </c>
      <c r="E75" s="64"/>
      <c r="F75" s="65"/>
      <c r="G75" s="722"/>
      <c r="H75" s="64"/>
      <c r="I75" s="1202">
        <v>0</v>
      </c>
      <c r="J75" s="492" t="e">
        <f>I75/'Input Page'!$E$181</f>
        <v>#DIV/0!</v>
      </c>
      <c r="K75" s="1005"/>
      <c r="L75" s="745">
        <f>I75</f>
        <v>0</v>
      </c>
      <c r="M75" s="743"/>
      <c r="N75" s="746"/>
      <c r="O75" s="743"/>
      <c r="P75" s="746"/>
      <c r="Q75" s="743"/>
      <c r="R75" s="747"/>
      <c r="S75" s="1027"/>
      <c r="T75" s="101"/>
      <c r="U75" s="101"/>
    </row>
    <row r="76" spans="1:30">
      <c r="A76" s="27"/>
      <c r="B76" s="24" t="s">
        <v>797</v>
      </c>
      <c r="E76" s="64"/>
      <c r="F76" s="65"/>
      <c r="G76" s="722"/>
      <c r="H76" s="64"/>
      <c r="I76" s="748" t="e">
        <f>SUM(I54:I75)</f>
        <v>#DIV/0!</v>
      </c>
      <c r="J76" s="748" t="e">
        <f>SUM(J54:J75)</f>
        <v>#DIV/0!</v>
      </c>
      <c r="K76" s="1005"/>
      <c r="L76" s="748" t="e">
        <f>SUM(L54:L75)</f>
        <v>#DIV/0!</v>
      </c>
      <c r="M76" s="748"/>
      <c r="N76" s="748">
        <f>SUM(N54:N75)</f>
        <v>0</v>
      </c>
      <c r="O76" s="748"/>
      <c r="P76" s="748">
        <f>SUM(P54:P75)</f>
        <v>0</v>
      </c>
      <c r="Q76" s="693"/>
      <c r="R76" s="749">
        <f>SUM(R54:R75)</f>
        <v>0</v>
      </c>
      <c r="S76" s="1027"/>
      <c r="T76" s="101"/>
      <c r="U76" s="101"/>
      <c r="AD76" s="485" t="e">
        <f>I76</f>
        <v>#DIV/0!</v>
      </c>
    </row>
    <row r="77" spans="1:30">
      <c r="A77" s="27"/>
      <c r="E77" s="64"/>
      <c r="F77" s="65"/>
      <c r="G77" s="722"/>
      <c r="H77" s="64"/>
      <c r="I77" s="741"/>
      <c r="J77" s="484"/>
      <c r="K77" s="1005"/>
      <c r="L77" s="741"/>
      <c r="M77" s="743"/>
      <c r="N77" s="743"/>
      <c r="O77" s="743"/>
      <c r="P77" s="743"/>
      <c r="Q77" s="485"/>
      <c r="R77" s="294"/>
      <c r="S77" s="1027"/>
      <c r="T77" s="101"/>
      <c r="U77" s="101"/>
    </row>
    <row r="78" spans="1:30">
      <c r="A78" s="35" t="s">
        <v>798</v>
      </c>
      <c r="E78" s="64"/>
      <c r="F78" s="65"/>
      <c r="G78" s="722"/>
      <c r="H78" s="64"/>
      <c r="I78" s="741"/>
      <c r="J78" s="484"/>
      <c r="K78" s="1005"/>
      <c r="L78" s="741"/>
      <c r="M78" s="743"/>
      <c r="N78" s="743"/>
      <c r="O78" s="743"/>
      <c r="P78" s="743"/>
      <c r="Q78" s="485"/>
      <c r="R78" s="294"/>
      <c r="S78" s="1027"/>
      <c r="T78" s="101"/>
      <c r="U78" s="101"/>
    </row>
    <row r="79" spans="1:30">
      <c r="A79" s="35"/>
      <c r="C79" s="7" t="s">
        <v>21</v>
      </c>
      <c r="E79" s="64"/>
      <c r="F79" s="432">
        <v>1000</v>
      </c>
      <c r="G79" s="722"/>
      <c r="H79" s="64"/>
      <c r="I79" s="484">
        <f>F79*'Input Page'!$E$181</f>
        <v>0</v>
      </c>
      <c r="J79" s="484" t="e">
        <f>I79/'Input Page'!$E$181</f>
        <v>#DIV/0!</v>
      </c>
      <c r="K79" s="1005"/>
      <c r="L79" s="741"/>
      <c r="M79" s="743"/>
      <c r="N79" s="743">
        <f>R79</f>
        <v>0</v>
      </c>
      <c r="O79" s="743"/>
      <c r="P79" s="743"/>
      <c r="Q79" s="485"/>
      <c r="R79" s="294">
        <f>I79</f>
        <v>0</v>
      </c>
      <c r="S79" s="1027" t="s">
        <v>799</v>
      </c>
      <c r="T79" s="101"/>
      <c r="U79" s="101"/>
    </row>
    <row r="80" spans="1:30">
      <c r="A80" s="35"/>
      <c r="C80" s="7" t="s">
        <v>800</v>
      </c>
      <c r="E80" s="64"/>
      <c r="G80" s="722"/>
      <c r="H80" s="64"/>
      <c r="I80" s="1061">
        <v>0</v>
      </c>
      <c r="J80" s="484" t="e">
        <f>I80/'Input Page'!$E$181</f>
        <v>#DIV/0!</v>
      </c>
      <c r="K80" s="1005"/>
      <c r="L80" s="741"/>
      <c r="M80" s="743"/>
      <c r="N80" s="743">
        <f t="shared" ref="N80:N82" si="11">R80</f>
        <v>0</v>
      </c>
      <c r="O80" s="743"/>
      <c r="P80" s="743"/>
      <c r="Q80" s="485"/>
      <c r="R80" s="294">
        <f>I80</f>
        <v>0</v>
      </c>
      <c r="S80" s="1027" t="s">
        <v>801</v>
      </c>
      <c r="T80" s="101"/>
      <c r="U80" s="101"/>
    </row>
    <row r="81" spans="1:30">
      <c r="A81" s="35"/>
      <c r="C81" s="7" t="s">
        <v>802</v>
      </c>
      <c r="E81" s="64"/>
      <c r="G81" s="722"/>
      <c r="H81" s="64"/>
      <c r="I81" s="1061">
        <v>0</v>
      </c>
      <c r="J81" s="484" t="e">
        <f>I81/'Input Page'!$E$181</f>
        <v>#DIV/0!</v>
      </c>
      <c r="K81" s="1005"/>
      <c r="L81" s="741"/>
      <c r="M81" s="743"/>
      <c r="N81" s="743">
        <f t="shared" si="11"/>
        <v>0</v>
      </c>
      <c r="O81" s="743"/>
      <c r="P81" s="743"/>
      <c r="Q81" s="485"/>
      <c r="R81" s="294">
        <f>I81</f>
        <v>0</v>
      </c>
      <c r="S81" s="1027" t="s">
        <v>803</v>
      </c>
      <c r="T81" s="101"/>
      <c r="U81" s="101"/>
    </row>
    <row r="82" spans="1:30">
      <c r="A82" s="35"/>
      <c r="C82" s="7" t="s">
        <v>804</v>
      </c>
      <c r="E82" s="64"/>
      <c r="G82" s="722"/>
      <c r="H82" s="64"/>
      <c r="I82" s="1061">
        <v>0</v>
      </c>
      <c r="J82" s="484" t="e">
        <f>I82/'Input Page'!$E$181</f>
        <v>#DIV/0!</v>
      </c>
      <c r="K82" s="1005"/>
      <c r="L82" s="741"/>
      <c r="M82" s="743"/>
      <c r="N82" s="743">
        <f t="shared" si="11"/>
        <v>0</v>
      </c>
      <c r="O82" s="743"/>
      <c r="P82" s="743"/>
      <c r="Q82" s="485"/>
      <c r="R82" s="294">
        <f>I82</f>
        <v>0</v>
      </c>
      <c r="S82" s="1027"/>
      <c r="T82" s="101"/>
      <c r="U82" s="101"/>
    </row>
    <row r="83" spans="1:30">
      <c r="A83" s="27"/>
      <c r="C83" s="7" t="s">
        <v>805</v>
      </c>
      <c r="E83" s="64"/>
      <c r="F83" s="65"/>
      <c r="G83" s="722"/>
      <c r="H83" s="64"/>
      <c r="I83" s="483"/>
      <c r="J83" s="484" t="e">
        <f>I83/'Input Page'!$E$181</f>
        <v>#DIV/0!</v>
      </c>
      <c r="K83" s="1005"/>
      <c r="L83" s="741">
        <f>I83</f>
        <v>0</v>
      </c>
      <c r="M83" s="743"/>
      <c r="N83" s="743"/>
      <c r="O83" s="743"/>
      <c r="P83" s="743"/>
      <c r="Q83" s="485"/>
      <c r="R83" s="294"/>
      <c r="S83" s="1027"/>
      <c r="T83" s="101"/>
      <c r="U83" s="101"/>
      <c r="AD83" s="485">
        <f>-I83</f>
        <v>0</v>
      </c>
    </row>
    <row r="84" spans="1:30">
      <c r="A84" s="27"/>
      <c r="C84" s="7" t="s">
        <v>806</v>
      </c>
      <c r="E84" s="64"/>
      <c r="F84" s="65"/>
      <c r="G84" s="722"/>
      <c r="H84" s="64"/>
      <c r="I84" s="1061"/>
      <c r="J84" s="484" t="e">
        <f>I84/'Input Page'!$E$181</f>
        <v>#DIV/0!</v>
      </c>
      <c r="K84" s="1005"/>
      <c r="L84" s="741">
        <f>I84</f>
        <v>0</v>
      </c>
      <c r="M84" s="743"/>
      <c r="N84" s="743"/>
      <c r="O84" s="743"/>
      <c r="P84" s="743"/>
      <c r="Q84" s="485"/>
      <c r="R84" s="294"/>
      <c r="S84" s="1027"/>
      <c r="T84" s="101"/>
      <c r="U84" s="101"/>
    </row>
    <row r="85" spans="1:30">
      <c r="A85" s="27"/>
      <c r="C85" s="7" t="s">
        <v>807</v>
      </c>
      <c r="E85" s="64"/>
      <c r="F85" s="65"/>
      <c r="G85" s="722"/>
      <c r="H85" s="64"/>
      <c r="I85" s="1061">
        <v>0</v>
      </c>
      <c r="J85" s="484" t="e">
        <f>I85/'Input Page'!$E$181</f>
        <v>#DIV/0!</v>
      </c>
      <c r="K85" s="1005"/>
      <c r="L85" s="741">
        <f>I85</f>
        <v>0</v>
      </c>
      <c r="M85" s="743"/>
      <c r="N85" s="743"/>
      <c r="O85" s="743"/>
      <c r="P85" s="743"/>
      <c r="Q85" s="485"/>
      <c r="R85" s="294"/>
      <c r="S85" s="1027"/>
      <c r="T85" s="101"/>
      <c r="U85" s="101"/>
      <c r="AD85" s="485">
        <f>-I85</f>
        <v>0</v>
      </c>
    </row>
    <row r="86" spans="1:30">
      <c r="A86" s="27"/>
      <c r="C86" s="7" t="s">
        <v>808</v>
      </c>
      <c r="E86" s="64"/>
      <c r="F86" s="1203">
        <v>0</v>
      </c>
      <c r="G86" s="722"/>
      <c r="H86" s="64"/>
      <c r="I86" s="484">
        <f>F86*'LIHTC Exec Summary'!E11</f>
        <v>0</v>
      </c>
      <c r="J86" s="484" t="e">
        <f>I86/'Input Page'!$E$181</f>
        <v>#DIV/0!</v>
      </c>
      <c r="K86" s="1005"/>
      <c r="L86" s="741"/>
      <c r="M86" s="743"/>
      <c r="N86" s="743">
        <f>R86</f>
        <v>0</v>
      </c>
      <c r="O86" s="743"/>
      <c r="P86" s="743"/>
      <c r="Q86" s="485"/>
      <c r="R86" s="294">
        <f>I86</f>
        <v>0</v>
      </c>
      <c r="S86" s="1027" t="s">
        <v>809</v>
      </c>
      <c r="T86" s="101"/>
      <c r="U86" s="101"/>
    </row>
    <row r="87" spans="1:30">
      <c r="A87" s="27"/>
      <c r="C87" s="7" t="s">
        <v>810</v>
      </c>
      <c r="E87" s="64"/>
      <c r="F87" s="65"/>
      <c r="G87" s="722"/>
      <c r="H87" s="64"/>
      <c r="I87" s="1061">
        <v>0</v>
      </c>
      <c r="J87" s="484" t="e">
        <f>I87/'Input Page'!$E$181</f>
        <v>#DIV/0!</v>
      </c>
      <c r="K87" s="1005"/>
      <c r="L87" s="741">
        <f>I87</f>
        <v>0</v>
      </c>
      <c r="M87" s="743"/>
      <c r="N87" s="743"/>
      <c r="O87" s="743"/>
      <c r="P87" s="743"/>
      <c r="Q87" s="485"/>
      <c r="R87" s="294"/>
      <c r="S87" s="1027"/>
      <c r="T87" s="101"/>
      <c r="U87" s="101"/>
    </row>
    <row r="88" spans="1:30">
      <c r="A88" s="27"/>
      <c r="C88" s="7" t="s">
        <v>811</v>
      </c>
      <c r="E88" s="64"/>
      <c r="F88" s="65"/>
      <c r="G88" s="722"/>
      <c r="H88" s="64"/>
      <c r="I88" s="1061">
        <v>0</v>
      </c>
      <c r="J88" s="484" t="e">
        <f>I88/'Input Page'!$E$181</f>
        <v>#DIV/0!</v>
      </c>
      <c r="K88" s="1005"/>
      <c r="L88" s="741">
        <f>I88</f>
        <v>0</v>
      </c>
      <c r="M88" s="743"/>
      <c r="N88" s="743"/>
      <c r="O88" s="743"/>
      <c r="P88" s="743"/>
      <c r="Q88" s="485"/>
      <c r="R88" s="294"/>
      <c r="S88" s="1027"/>
      <c r="T88" s="101"/>
      <c r="U88" s="101"/>
      <c r="AD88" s="485">
        <f>-I88</f>
        <v>0</v>
      </c>
    </row>
    <row r="89" spans="1:30">
      <c r="A89" s="27"/>
      <c r="C89" s="7" t="s">
        <v>812</v>
      </c>
      <c r="E89" s="64"/>
      <c r="F89" s="65"/>
      <c r="G89" s="722"/>
      <c r="H89" s="64"/>
      <c r="I89" s="484">
        <f>500+(45*'Input Page'!$E$170)+300</f>
        <v>800</v>
      </c>
      <c r="J89" s="484" t="e">
        <f>I89/'Input Page'!$E$181</f>
        <v>#DIV/0!</v>
      </c>
      <c r="K89" s="1005"/>
      <c r="L89" s="741">
        <f>I89</f>
        <v>800</v>
      </c>
      <c r="M89" s="743"/>
      <c r="N89" s="743"/>
      <c r="O89" s="743"/>
      <c r="P89" s="743"/>
      <c r="Q89" s="485"/>
      <c r="R89" s="294"/>
      <c r="S89" s="1027" t="s">
        <v>813</v>
      </c>
      <c r="T89" s="101"/>
      <c r="U89" s="101"/>
      <c r="AD89" s="485">
        <f>-I89</f>
        <v>-800</v>
      </c>
    </row>
    <row r="90" spans="1:30">
      <c r="A90" s="27"/>
      <c r="C90" s="7" t="s">
        <v>798</v>
      </c>
      <c r="G90" s="722"/>
      <c r="I90" s="1202">
        <v>0</v>
      </c>
      <c r="J90" s="492" t="e">
        <f>I90/'Input Page'!$E$181</f>
        <v>#DIV/0!</v>
      </c>
      <c r="K90" s="1007"/>
      <c r="L90" s="1202"/>
      <c r="M90" s="485"/>
      <c r="N90" s="1202"/>
      <c r="O90" s="485"/>
      <c r="P90" s="746"/>
      <c r="Q90" s="485"/>
      <c r="R90" s="1204"/>
      <c r="S90" s="1027" t="s">
        <v>814</v>
      </c>
      <c r="T90" s="101"/>
      <c r="U90" s="101"/>
    </row>
    <row r="91" spans="1:30">
      <c r="A91" s="27"/>
      <c r="B91" s="24" t="s">
        <v>815</v>
      </c>
      <c r="G91" s="722"/>
      <c r="I91" s="693">
        <f>SUM(I79:I90)</f>
        <v>800</v>
      </c>
      <c r="J91" s="693" t="e">
        <f>SUM(J79:J90)</f>
        <v>#DIV/0!</v>
      </c>
      <c r="K91" s="1007"/>
      <c r="L91" s="693">
        <f>SUM(L79:L90)</f>
        <v>800</v>
      </c>
      <c r="M91" s="693"/>
      <c r="N91" s="693">
        <f>SUM(N79:N90)</f>
        <v>0</v>
      </c>
      <c r="O91" s="693"/>
      <c r="P91" s="693">
        <f>SUM(P79:P90)</f>
        <v>0</v>
      </c>
      <c r="Q91" s="693"/>
      <c r="R91" s="749">
        <f>SUM(R79:R90)</f>
        <v>0</v>
      </c>
      <c r="S91" s="1027"/>
      <c r="T91" s="101"/>
      <c r="U91" s="101"/>
      <c r="AD91" s="485">
        <f>I91</f>
        <v>800</v>
      </c>
    </row>
    <row r="92" spans="1:30">
      <c r="A92" s="27"/>
      <c r="G92" s="722"/>
      <c r="I92" s="485"/>
      <c r="J92" s="485"/>
      <c r="K92" s="1007"/>
      <c r="L92" s="485"/>
      <c r="M92" s="485"/>
      <c r="N92" s="485"/>
      <c r="O92" s="485"/>
      <c r="P92" s="485"/>
      <c r="Q92" s="485"/>
      <c r="R92" s="294"/>
      <c r="S92" s="1027"/>
      <c r="T92" s="101"/>
      <c r="U92" s="101"/>
    </row>
    <row r="93" spans="1:30">
      <c r="A93" s="35" t="s">
        <v>816</v>
      </c>
      <c r="G93" s="722"/>
      <c r="I93" s="485"/>
      <c r="J93" s="485"/>
      <c r="K93" s="1007"/>
      <c r="L93" s="485"/>
      <c r="M93" s="485"/>
      <c r="N93" s="485"/>
      <c r="O93" s="485"/>
      <c r="P93" s="485"/>
      <c r="Q93" s="485"/>
      <c r="R93" s="294"/>
      <c r="S93" s="1027"/>
      <c r="T93" s="101"/>
      <c r="U93" s="101"/>
    </row>
    <row r="94" spans="1:30">
      <c r="A94" s="27"/>
      <c r="C94" s="7" t="s">
        <v>817</v>
      </c>
      <c r="G94" s="722"/>
      <c r="I94" s="483">
        <f>40*101</f>
        <v>4040</v>
      </c>
      <c r="J94" s="484" t="e">
        <f>I94/'Input Page'!$E$181</f>
        <v>#DIV/0!</v>
      </c>
      <c r="K94" s="1007"/>
      <c r="L94" s="485">
        <f t="shared" ref="L94:L99" si="12">I94</f>
        <v>4040</v>
      </c>
      <c r="M94" s="485"/>
      <c r="N94" s="485"/>
      <c r="O94" s="485"/>
      <c r="P94" s="485"/>
      <c r="Q94" s="485"/>
      <c r="R94" s="294"/>
      <c r="S94" s="1027" t="s">
        <v>1089</v>
      </c>
      <c r="T94" s="101"/>
      <c r="U94" s="101"/>
    </row>
    <row r="95" spans="1:30">
      <c r="A95" s="27"/>
      <c r="C95" s="7" t="s">
        <v>819</v>
      </c>
      <c r="F95" s="1570">
        <v>6.25E-2</v>
      </c>
      <c r="G95" s="721"/>
      <c r="I95" s="485" t="e">
        <f>F95*'LIHTC Exec Summary'!G45</f>
        <v>#DIV/0!</v>
      </c>
      <c r="J95" s="484" t="e">
        <f>I95/'Input Page'!$E$181</f>
        <v>#DIV/0!</v>
      </c>
      <c r="K95" s="1007"/>
      <c r="L95" s="485" t="e">
        <f t="shared" si="12"/>
        <v>#DIV/0!</v>
      </c>
      <c r="M95" s="485"/>
      <c r="N95" s="485"/>
      <c r="O95" s="485"/>
      <c r="P95" s="485"/>
      <c r="Q95" s="485"/>
      <c r="R95" s="294"/>
      <c r="S95" s="1027" t="s">
        <v>1089</v>
      </c>
      <c r="T95" s="101"/>
      <c r="U95" s="101"/>
    </row>
    <row r="96" spans="1:30">
      <c r="A96" s="27"/>
      <c r="C96" s="7" t="s">
        <v>820</v>
      </c>
      <c r="F96" s="1198">
        <v>6.25E-2</v>
      </c>
      <c r="G96" s="722"/>
      <c r="I96" s="1061">
        <v>0</v>
      </c>
      <c r="J96" s="484" t="e">
        <f>I96/'Input Page'!$E$181</f>
        <v>#DIV/0!</v>
      </c>
      <c r="K96" s="1007"/>
      <c r="L96" s="485">
        <f t="shared" si="12"/>
        <v>0</v>
      </c>
      <c r="M96" s="485"/>
      <c r="N96" s="485"/>
      <c r="O96" s="485"/>
      <c r="P96" s="485"/>
      <c r="Q96" s="485"/>
      <c r="R96" s="294"/>
      <c r="S96" s="1027" t="s">
        <v>1089</v>
      </c>
    </row>
    <row r="97" spans="1:30">
      <c r="A97" s="27"/>
      <c r="C97" s="7" t="s">
        <v>821</v>
      </c>
      <c r="F97" s="431">
        <v>600</v>
      </c>
      <c r="G97" s="727"/>
      <c r="I97" s="750">
        <f>F97*'LIHTC Exec Summary'!E11</f>
        <v>0</v>
      </c>
      <c r="J97" s="484" t="e">
        <f>I97/'Input Page'!$E$181</f>
        <v>#DIV/0!</v>
      </c>
      <c r="K97" s="1005"/>
      <c r="L97" s="500">
        <f t="shared" si="12"/>
        <v>0</v>
      </c>
      <c r="M97" s="500"/>
      <c r="N97" s="484"/>
      <c r="O97" s="500"/>
      <c r="P97" s="484"/>
      <c r="Q97" s="485"/>
      <c r="R97" s="294"/>
      <c r="S97" s="1027" t="s">
        <v>822</v>
      </c>
      <c r="AD97" s="485">
        <f>I97</f>
        <v>0</v>
      </c>
    </row>
    <row r="98" spans="1:30">
      <c r="A98" s="27"/>
      <c r="C98" s="7" t="s">
        <v>823</v>
      </c>
      <c r="G98" s="722"/>
      <c r="I98" s="1061">
        <v>0</v>
      </c>
      <c r="J98" s="484" t="e">
        <f>I98/'Input Page'!$E$181</f>
        <v>#DIV/0!</v>
      </c>
      <c r="K98" s="1005"/>
      <c r="L98" s="500">
        <f t="shared" si="12"/>
        <v>0</v>
      </c>
      <c r="M98" s="500"/>
      <c r="N98" s="484"/>
      <c r="O98" s="500"/>
      <c r="P98" s="484"/>
      <c r="Q98" s="485"/>
      <c r="R98" s="294"/>
      <c r="S98" s="1027" t="s">
        <v>818</v>
      </c>
    </row>
    <row r="99" spans="1:30">
      <c r="A99" s="27"/>
      <c r="C99" s="7" t="s">
        <v>824</v>
      </c>
      <c r="G99" s="722"/>
      <c r="I99" s="1205">
        <v>0</v>
      </c>
      <c r="J99" s="492" t="e">
        <f>I99/'Input Page'!$E$181</f>
        <v>#DIV/0!</v>
      </c>
      <c r="K99" s="1005"/>
      <c r="L99" s="500">
        <f t="shared" si="12"/>
        <v>0</v>
      </c>
      <c r="M99" s="500"/>
      <c r="N99" s="484"/>
      <c r="O99" s="500"/>
      <c r="P99" s="484"/>
      <c r="Q99" s="485"/>
      <c r="R99" s="294"/>
      <c r="S99" s="1027" t="s">
        <v>825</v>
      </c>
    </row>
    <row r="100" spans="1:30">
      <c r="A100" s="27"/>
      <c r="B100" s="24" t="s">
        <v>826</v>
      </c>
      <c r="G100" s="722"/>
      <c r="I100" s="738" t="e">
        <f>SUM(I94:I99)</f>
        <v>#DIV/0!</v>
      </c>
      <c r="J100" s="751" t="e">
        <f>SUM(J94:J99)</f>
        <v>#DIV/0!</v>
      </c>
      <c r="K100" s="1005"/>
      <c r="L100" s="738" t="e">
        <f>SUM(L94:L99)</f>
        <v>#DIV/0!</v>
      </c>
      <c r="M100" s="733"/>
      <c r="N100" s="738">
        <f>SUM(N94:N99)</f>
        <v>0</v>
      </c>
      <c r="O100" s="733"/>
      <c r="P100" s="738">
        <f>SUM(P94:P99)</f>
        <v>0</v>
      </c>
      <c r="Q100" s="693"/>
      <c r="R100" s="739">
        <f>SUM(R94:R99)</f>
        <v>0</v>
      </c>
      <c r="S100" s="1027"/>
    </row>
    <row r="101" spans="1:30">
      <c r="A101" s="27"/>
      <c r="G101" s="722"/>
      <c r="I101" s="500"/>
      <c r="J101" s="484"/>
      <c r="K101" s="1005"/>
      <c r="L101" s="500"/>
      <c r="M101" s="500"/>
      <c r="N101" s="484"/>
      <c r="O101" s="500"/>
      <c r="P101" s="484"/>
      <c r="Q101" s="485"/>
      <c r="R101" s="294"/>
      <c r="S101" s="1027"/>
    </row>
    <row r="102" spans="1:30">
      <c r="A102" s="35" t="s">
        <v>827</v>
      </c>
      <c r="G102" s="722"/>
      <c r="I102" s="500"/>
      <c r="J102" s="484"/>
      <c r="K102" s="1005"/>
      <c r="L102" s="500"/>
      <c r="M102" s="500"/>
      <c r="N102" s="484"/>
      <c r="O102" s="500"/>
      <c r="P102" s="484"/>
      <c r="Q102" s="485"/>
      <c r="R102" s="294"/>
      <c r="S102" s="1027"/>
    </row>
    <row r="103" spans="1:30">
      <c r="A103" s="27"/>
      <c r="C103" s="7" t="s">
        <v>828</v>
      </c>
      <c r="F103" s="143">
        <v>1</v>
      </c>
      <c r="G103" s="721"/>
      <c r="I103" s="484" t="e">
        <f>'LIHTC Debt'!$F$6*'LIHTC Debt'!$C$29</f>
        <v>#DIV/0!</v>
      </c>
      <c r="J103" s="484" t="e">
        <f>I103/'Input Page'!$E$181</f>
        <v>#DIV/0!</v>
      </c>
      <c r="K103" s="1005"/>
      <c r="L103" s="500"/>
      <c r="M103" s="500"/>
      <c r="N103" s="484" t="e">
        <f>R103</f>
        <v>#DIV/0!</v>
      </c>
      <c r="O103" s="500"/>
      <c r="P103" s="484"/>
      <c r="Q103" s="500"/>
      <c r="R103" s="582" t="e">
        <f>I103</f>
        <v>#DIV/0!</v>
      </c>
      <c r="S103" s="1027" t="s">
        <v>829</v>
      </c>
    </row>
    <row r="104" spans="1:30">
      <c r="A104" s="27"/>
      <c r="C104" s="7" t="s">
        <v>830</v>
      </c>
      <c r="F104" s="144"/>
      <c r="G104" s="721"/>
      <c r="I104" s="1061">
        <v>0</v>
      </c>
      <c r="J104" s="484" t="e">
        <f>I104/'Input Page'!$E$181</f>
        <v>#DIV/0!</v>
      </c>
      <c r="K104" s="1005"/>
      <c r="L104" s="500">
        <f>I104*0.5</f>
        <v>0</v>
      </c>
      <c r="M104" s="500"/>
      <c r="N104" s="484"/>
      <c r="O104" s="500"/>
      <c r="P104" s="484"/>
      <c r="Q104" s="500"/>
      <c r="R104" s="582"/>
      <c r="S104" s="1027"/>
    </row>
    <row r="105" spans="1:30">
      <c r="A105" s="27"/>
      <c r="C105" s="7" t="s">
        <v>831</v>
      </c>
      <c r="F105" s="388">
        <v>1</v>
      </c>
      <c r="G105" s="721"/>
      <c r="I105" s="500">
        <f>'Income &amp; OpEx'!O105*F105</f>
        <v>0</v>
      </c>
      <c r="J105" s="484" t="e">
        <f>I105/'Input Page'!$E$181</f>
        <v>#DIV/0!</v>
      </c>
      <c r="K105" s="1005"/>
      <c r="L105" s="500"/>
      <c r="M105" s="500"/>
      <c r="N105" s="484"/>
      <c r="O105" s="500"/>
      <c r="P105" s="484"/>
      <c r="Q105" s="500"/>
      <c r="R105" s="582">
        <f>I105</f>
        <v>0</v>
      </c>
      <c r="S105" s="1027"/>
      <c r="T105" s="87"/>
    </row>
    <row r="106" spans="1:30">
      <c r="A106" s="27"/>
      <c r="C106" s="7" t="s">
        <v>832</v>
      </c>
      <c r="F106" s="23">
        <v>1</v>
      </c>
      <c r="G106" s="721"/>
      <c r="I106" s="500">
        <f>'Income &amp; OpEx'!O108*F106</f>
        <v>0</v>
      </c>
      <c r="J106" s="484" t="e">
        <f>I106/'Input Page'!$E$181</f>
        <v>#DIV/0!</v>
      </c>
      <c r="K106" s="1005"/>
      <c r="L106" s="500"/>
      <c r="M106" s="500"/>
      <c r="N106" s="484"/>
      <c r="O106" s="500"/>
      <c r="P106" s="484"/>
      <c r="Q106" s="500"/>
      <c r="R106" s="582">
        <f>I106</f>
        <v>0</v>
      </c>
      <c r="S106" s="1027"/>
    </row>
    <row r="107" spans="1:30">
      <c r="A107" s="27"/>
      <c r="C107" s="7" t="s">
        <v>833</v>
      </c>
      <c r="F107" s="427"/>
      <c r="G107" s="721"/>
      <c r="I107" s="1061">
        <v>0</v>
      </c>
      <c r="J107" s="484" t="e">
        <f>I107/'Input Page'!$E$181</f>
        <v>#DIV/0!</v>
      </c>
      <c r="K107" s="1005"/>
      <c r="L107" s="500">
        <f>I107</f>
        <v>0</v>
      </c>
      <c r="M107" s="500"/>
      <c r="N107" s="484"/>
      <c r="O107" s="500"/>
      <c r="P107" s="484"/>
      <c r="Q107" s="500"/>
      <c r="R107" s="582"/>
      <c r="S107" s="1027"/>
      <c r="AD107" s="485">
        <f>-I107</f>
        <v>0</v>
      </c>
    </row>
    <row r="108" spans="1:30">
      <c r="A108" s="27"/>
      <c r="C108" s="7" t="s">
        <v>834</v>
      </c>
      <c r="F108" s="427"/>
      <c r="G108" s="721"/>
      <c r="I108" s="1061">
        <v>0</v>
      </c>
      <c r="J108" s="492" t="e">
        <f>I108/'Input Page'!$E$181</f>
        <v>#DIV/0!</v>
      </c>
      <c r="K108" s="1005"/>
      <c r="L108" s="500">
        <f>I108</f>
        <v>0</v>
      </c>
      <c r="M108" s="500"/>
      <c r="N108" s="484"/>
      <c r="O108" s="500"/>
      <c r="P108" s="484"/>
      <c r="Q108" s="500"/>
      <c r="R108" s="582"/>
      <c r="S108" s="1027"/>
    </row>
    <row r="109" spans="1:30">
      <c r="A109" s="27"/>
      <c r="B109" s="24" t="s">
        <v>835</v>
      </c>
      <c r="G109" s="722"/>
      <c r="I109" s="738" t="e">
        <f>SUM(I103:I108)</f>
        <v>#DIV/0!</v>
      </c>
      <c r="J109" s="738" t="e">
        <f>SUM(J103:J108)</f>
        <v>#DIV/0!</v>
      </c>
      <c r="K109" s="1005"/>
      <c r="L109" s="738">
        <f>SUM(L103:L108)</f>
        <v>0</v>
      </c>
      <c r="M109" s="733"/>
      <c r="N109" s="738" t="e">
        <f>SUM(N103:N108)</f>
        <v>#DIV/0!</v>
      </c>
      <c r="O109" s="733"/>
      <c r="P109" s="738">
        <f>SUM(P103:P108)</f>
        <v>0</v>
      </c>
      <c r="Q109" s="733"/>
      <c r="R109" s="739" t="e">
        <f>SUM(R103:R108)</f>
        <v>#DIV/0!</v>
      </c>
      <c r="S109" s="1027"/>
      <c r="AD109" s="485" t="e">
        <f>I109</f>
        <v>#DIV/0!</v>
      </c>
    </row>
    <row r="110" spans="1:30">
      <c r="A110" s="27"/>
      <c r="G110" s="722"/>
      <c r="I110" s="500"/>
      <c r="J110" s="484"/>
      <c r="K110" s="1005"/>
      <c r="L110" s="500"/>
      <c r="M110" s="500"/>
      <c r="N110" s="484"/>
      <c r="O110" s="500"/>
      <c r="P110" s="484"/>
      <c r="Q110" s="500"/>
      <c r="R110" s="582"/>
      <c r="S110" s="1027"/>
    </row>
    <row r="111" spans="1:30">
      <c r="A111" s="35" t="s">
        <v>836</v>
      </c>
      <c r="G111" s="722"/>
      <c r="I111" s="485"/>
      <c r="J111" s="485"/>
      <c r="K111" s="1007"/>
      <c r="L111" s="485"/>
      <c r="M111" s="485"/>
      <c r="N111" s="485"/>
      <c r="O111" s="485"/>
      <c r="P111" s="485"/>
      <c r="Q111" s="485"/>
      <c r="R111" s="294"/>
      <c r="S111" s="1027"/>
    </row>
    <row r="112" spans="1:30">
      <c r="A112" s="27"/>
      <c r="C112" s="7" t="s">
        <v>837</v>
      </c>
      <c r="F112" s="23">
        <v>0.5</v>
      </c>
      <c r="G112" s="721"/>
      <c r="I112" s="752" t="e">
        <f>('Income &amp; OpEx'!O115*'Development Costs'!F112)+('Development Costs'!F112*'LIHTC Exec Summary'!Q23)+('Income &amp; OpEx'!O234*'Development Costs'!F112)</f>
        <v>#DIV/0!</v>
      </c>
      <c r="J112" s="484" t="e">
        <f>I112/'Input Page'!$E$181</f>
        <v>#DIV/0!</v>
      </c>
      <c r="K112" s="1005"/>
      <c r="L112" s="500" t="e">
        <f>I112</f>
        <v>#DIV/0!</v>
      </c>
      <c r="M112" s="500"/>
      <c r="N112" s="484"/>
      <c r="O112" s="500"/>
      <c r="P112" s="484"/>
      <c r="Q112" s="500"/>
      <c r="R112" s="582"/>
      <c r="S112" s="1027"/>
      <c r="AD112" s="485" t="e">
        <f>SUM(AD2:AD109)</f>
        <v>#DIV/0!</v>
      </c>
    </row>
    <row r="113" spans="1:27">
      <c r="A113" s="27"/>
      <c r="C113" s="7" t="s">
        <v>838</v>
      </c>
      <c r="F113" s="1203">
        <v>0</v>
      </c>
      <c r="G113" s="722"/>
      <c r="I113" s="1061" t="e">
        <f>'Perm - 15 Year CF'!E122*'Development Costs'!F113/12</f>
        <v>#DIV/0!</v>
      </c>
      <c r="J113" s="484" t="e">
        <f>I113/'Input Page'!$E$181</f>
        <v>#DIV/0!</v>
      </c>
      <c r="K113" s="1005"/>
      <c r="L113" s="500" t="e">
        <f>I113</f>
        <v>#DIV/0!</v>
      </c>
      <c r="M113" s="500"/>
      <c r="N113" s="485"/>
      <c r="O113" s="500"/>
      <c r="P113" s="485"/>
      <c r="Q113" s="500"/>
      <c r="R113" s="294"/>
      <c r="S113" s="1027" t="s">
        <v>839</v>
      </c>
      <c r="T113"/>
      <c r="U113" s="21"/>
    </row>
    <row r="114" spans="1:27">
      <c r="A114" s="27"/>
      <c r="C114" s="7" t="s">
        <v>840</v>
      </c>
      <c r="F114" s="1203">
        <v>0</v>
      </c>
      <c r="G114" s="722"/>
      <c r="I114" s="1061">
        <f>('Income &amp; OpEx'!O234/12)*'Development Costs'!$F$114</f>
        <v>0</v>
      </c>
      <c r="J114" s="484" t="e">
        <f>I114/'Input Page'!$E$181</f>
        <v>#DIV/0!</v>
      </c>
      <c r="K114" s="1005"/>
      <c r="L114" s="500">
        <f>I114</f>
        <v>0</v>
      </c>
      <c r="M114" s="500"/>
      <c r="N114" s="485"/>
      <c r="O114" s="500"/>
      <c r="P114" s="485"/>
      <c r="Q114" s="500"/>
      <c r="R114" s="294"/>
      <c r="S114" s="1027" t="s">
        <v>841</v>
      </c>
      <c r="T114"/>
      <c r="U114" s="21"/>
    </row>
    <row r="115" spans="1:27">
      <c r="A115" s="27"/>
      <c r="C115" s="7" t="s">
        <v>842</v>
      </c>
      <c r="G115" s="722"/>
      <c r="I115" s="483">
        <v>0</v>
      </c>
      <c r="J115" s="492" t="e">
        <f>I115/'Input Page'!$E$181</f>
        <v>#DIV/0!</v>
      </c>
      <c r="K115" s="1005"/>
      <c r="L115" s="500">
        <f>I115</f>
        <v>0</v>
      </c>
      <c r="M115" s="500"/>
      <c r="N115" s="742"/>
      <c r="O115" s="500"/>
      <c r="P115" s="742"/>
      <c r="Q115" s="500"/>
      <c r="R115" s="753"/>
      <c r="S115" s="1027"/>
      <c r="T115" s="21"/>
      <c r="U115" s="21"/>
    </row>
    <row r="116" spans="1:27">
      <c r="A116" s="27"/>
      <c r="B116" s="24" t="s">
        <v>843</v>
      </c>
      <c r="G116" s="722"/>
      <c r="I116" s="738" t="e">
        <f>SUM(I112:I115)</f>
        <v>#DIV/0!</v>
      </c>
      <c r="J116" s="751" t="e">
        <f>SUM(J112:J115)</f>
        <v>#DIV/0!</v>
      </c>
      <c r="K116" s="1005"/>
      <c r="L116" s="738" t="e">
        <f>SUM(L112:L115)</f>
        <v>#DIV/0!</v>
      </c>
      <c r="M116" s="733"/>
      <c r="N116" s="738">
        <f>SUM(N112:N115)</f>
        <v>0</v>
      </c>
      <c r="O116" s="733"/>
      <c r="P116" s="738">
        <f>SUM(P112:P115)</f>
        <v>0</v>
      </c>
      <c r="Q116" s="733"/>
      <c r="R116" s="739">
        <f>SUM(R112:R115)</f>
        <v>0</v>
      </c>
      <c r="S116" s="1027"/>
    </row>
    <row r="117" spans="1:27">
      <c r="A117" s="27"/>
      <c r="G117" s="722"/>
      <c r="I117" s="485"/>
      <c r="J117" s="485"/>
      <c r="K117" s="1007"/>
      <c r="L117" s="485"/>
      <c r="M117" s="485"/>
      <c r="N117" s="485"/>
      <c r="O117" s="485"/>
      <c r="P117" s="485"/>
      <c r="Q117" s="485"/>
      <c r="R117" s="294"/>
      <c r="S117" s="1027"/>
    </row>
    <row r="118" spans="1:27">
      <c r="A118" s="416" t="s">
        <v>844</v>
      </c>
      <c r="B118" s="429"/>
      <c r="C118" s="429"/>
      <c r="D118" s="429"/>
      <c r="E118" s="429"/>
      <c r="F118" s="430"/>
      <c r="G118" s="728"/>
      <c r="H118" s="429"/>
      <c r="I118" s="720" t="e">
        <f>I8+I26+I50+I76+I91+I100+I109+I116</f>
        <v>#DIV/0!</v>
      </c>
      <c r="J118" s="720" t="e">
        <f>I118/'Input Page'!$E$181</f>
        <v>#DIV/0!</v>
      </c>
      <c r="K118" s="1008"/>
      <c r="L118" s="720" t="e">
        <f>SUM(L8+L26+L50+L76+L91+L100+L109+L116)</f>
        <v>#DIV/0!</v>
      </c>
      <c r="M118" s="720"/>
      <c r="N118" s="720">
        <f>IF(OR(N126&gt;0,N127&gt;0,),SUM(N8+N26+N50+N76+N91+N100+N109+N116),0)</f>
        <v>0</v>
      </c>
      <c r="O118" s="720"/>
      <c r="P118" s="720">
        <f>SUM(P8+P26+P50+P76+P91+P100+P109+P116)</f>
        <v>0</v>
      </c>
      <c r="Q118" s="720"/>
      <c r="R118" s="754" t="e">
        <f>SUM(R8+R26+R50+R76+R91+R100+R109+R116)</f>
        <v>#DIV/0!</v>
      </c>
      <c r="S118" s="1027"/>
    </row>
    <row r="119" spans="1:27">
      <c r="A119" s="145"/>
      <c r="G119" s="722"/>
      <c r="I119" s="485"/>
      <c r="J119" s="485"/>
      <c r="K119" s="1007"/>
      <c r="L119" s="485"/>
      <c r="M119" s="485"/>
      <c r="N119" s="485"/>
      <c r="O119" s="485"/>
      <c r="P119" s="485"/>
      <c r="Q119" s="485"/>
      <c r="R119" s="294"/>
      <c r="S119" s="1027"/>
    </row>
    <row r="120" spans="1:27">
      <c r="A120" s="27"/>
      <c r="G120" s="722"/>
      <c r="I120" s="485"/>
      <c r="J120" s="485"/>
      <c r="K120" s="1007"/>
      <c r="L120" s="485"/>
      <c r="M120" s="485"/>
      <c r="N120" s="485"/>
      <c r="O120" s="485"/>
      <c r="P120" s="485"/>
      <c r="Q120" s="485"/>
      <c r="R120" s="294"/>
      <c r="S120" s="1027"/>
    </row>
    <row r="121" spans="1:27">
      <c r="A121" s="35" t="s">
        <v>845</v>
      </c>
      <c r="F121" s="134">
        <v>0.15</v>
      </c>
      <c r="G121" s="722" t="e">
        <f>F121*(I118-I116-I8)</f>
        <v>#DIV/0!</v>
      </c>
      <c r="I121" s="483"/>
      <c r="J121" s="492" t="e">
        <f>I121/'Input Page'!$E$181</f>
        <v>#DIV/0!</v>
      </c>
      <c r="K121" s="1005"/>
      <c r="L121" s="755"/>
      <c r="M121" s="500"/>
      <c r="N121" s="500">
        <f>R121</f>
        <v>0</v>
      </c>
      <c r="O121" s="500"/>
      <c r="P121" s="500">
        <f>0.05*$I$6</f>
        <v>0</v>
      </c>
      <c r="Q121" s="500"/>
      <c r="R121" s="582">
        <f>I121-P121</f>
        <v>0</v>
      </c>
      <c r="S121" s="1027" t="s">
        <v>846</v>
      </c>
    </row>
    <row r="122" spans="1:27">
      <c r="A122" s="27"/>
      <c r="B122" s="24" t="s">
        <v>847</v>
      </c>
      <c r="G122" s="722"/>
      <c r="I122" s="738">
        <f>SUM(I120:I121)</f>
        <v>0</v>
      </c>
      <c r="J122" s="738" t="e">
        <f>SUM(J120:J121)</f>
        <v>#DIV/0!</v>
      </c>
      <c r="K122" s="1005"/>
      <c r="L122" s="500"/>
      <c r="M122" s="500"/>
      <c r="N122" s="756">
        <f t="shared" ref="N122:P122" si="13">SUM(N120:N121)</f>
        <v>0</v>
      </c>
      <c r="O122" s="500"/>
      <c r="P122" s="756">
        <f t="shared" si="13"/>
        <v>0</v>
      </c>
      <c r="Q122" s="500"/>
      <c r="R122" s="757">
        <f>SUM(R120:R121)</f>
        <v>0</v>
      </c>
      <c r="S122" s="1027"/>
      <c r="T122" s="37"/>
    </row>
    <row r="123" spans="1:27" ht="16.5" thickBot="1">
      <c r="A123" s="417"/>
      <c r="B123" s="418"/>
      <c r="C123" s="418"/>
      <c r="D123" s="418"/>
      <c r="E123" s="418"/>
      <c r="F123" s="419"/>
      <c r="G123" s="729"/>
      <c r="H123" s="418"/>
      <c r="I123" s="758"/>
      <c r="J123" s="758"/>
      <c r="K123" s="1009"/>
      <c r="L123" s="758"/>
      <c r="M123" s="758"/>
      <c r="N123" s="758"/>
      <c r="O123" s="758"/>
      <c r="P123" s="758"/>
      <c r="Q123" s="758"/>
      <c r="R123" s="759"/>
      <c r="S123" s="1027"/>
      <c r="U123" s="40"/>
    </row>
    <row r="124" spans="1:27" ht="16.5" thickBot="1">
      <c r="A124" s="422" t="s">
        <v>27</v>
      </c>
      <c r="B124" s="423"/>
      <c r="C124" s="423"/>
      <c r="D124" s="423"/>
      <c r="E124" s="423"/>
      <c r="F124" s="424"/>
      <c r="G124" s="424"/>
      <c r="H124" s="425"/>
      <c r="I124" s="760" t="e">
        <f>I122+I118</f>
        <v>#DIV/0!</v>
      </c>
      <c r="J124" s="760" t="e">
        <f>I124/'Input Page'!$E$181</f>
        <v>#DIV/0!</v>
      </c>
      <c r="K124" s="1010"/>
      <c r="L124" s="760" t="e">
        <f>L122+L118</f>
        <v>#DIV/0!</v>
      </c>
      <c r="M124" s="760">
        <f t="shared" ref="M124" si="14">M122+M118</f>
        <v>0</v>
      </c>
      <c r="N124" s="760">
        <f>IF(OR(N126&gt;0,N127&gt;0),N122+N118,0)</f>
        <v>0</v>
      </c>
      <c r="O124" s="760"/>
      <c r="P124" s="760">
        <f>P122+P118</f>
        <v>0</v>
      </c>
      <c r="Q124" s="760"/>
      <c r="R124" s="761" t="e">
        <f>R118+R122</f>
        <v>#DIV/0!</v>
      </c>
      <c r="S124" s="1027"/>
      <c r="T124"/>
      <c r="U124"/>
      <c r="V124" s="471"/>
      <c r="W124" s="471"/>
      <c r="X124" s="471"/>
      <c r="Y124" s="471"/>
      <c r="Z124" s="471"/>
      <c r="AA124" s="471"/>
    </row>
    <row r="125" spans="1:27">
      <c r="S125" s="1027"/>
      <c r="T125"/>
      <c r="U125"/>
      <c r="V125" s="471"/>
      <c r="W125" s="471"/>
      <c r="X125" s="471"/>
      <c r="Y125" s="471"/>
      <c r="Z125" s="471"/>
      <c r="AA125" s="471"/>
    </row>
    <row r="126" spans="1:27">
      <c r="A126" s="371" t="s">
        <v>848</v>
      </c>
      <c r="B126" s="371"/>
      <c r="C126" s="371"/>
      <c r="D126" s="371"/>
      <c r="E126" s="371"/>
      <c r="F126" s="393"/>
      <c r="G126" s="393"/>
      <c r="H126" s="371"/>
      <c r="I126" s="371"/>
      <c r="J126" s="371"/>
      <c r="K126" s="371"/>
      <c r="L126" s="371"/>
      <c r="M126" s="371"/>
      <c r="N126" s="1207"/>
      <c r="O126" s="371"/>
      <c r="P126" s="371"/>
      <c r="Q126" s="371"/>
      <c r="R126" s="372"/>
      <c r="S126" s="1027" t="s">
        <v>849</v>
      </c>
    </row>
    <row r="127" spans="1:27">
      <c r="A127" s="226" t="s">
        <v>850</v>
      </c>
      <c r="B127" s="389"/>
      <c r="C127" s="226"/>
      <c r="D127" s="226"/>
      <c r="E127" s="226"/>
      <c r="F127" s="394"/>
      <c r="G127" s="394"/>
      <c r="H127" s="226"/>
      <c r="I127" s="226"/>
      <c r="J127" s="226"/>
      <c r="K127" s="226"/>
      <c r="L127" s="226"/>
      <c r="M127" s="226"/>
      <c r="N127" s="1136"/>
      <c r="O127" s="226"/>
      <c r="P127" s="226"/>
      <c r="Q127" s="226"/>
      <c r="R127" s="381"/>
      <c r="S127" s="1027" t="s">
        <v>849</v>
      </c>
    </row>
    <row r="133" spans="9:9">
      <c r="I133" s="149"/>
    </row>
  </sheetData>
  <mergeCells count="2">
    <mergeCell ref="A1:R1"/>
    <mergeCell ref="A2:R2"/>
  </mergeCells>
  <printOptions horizontalCentered="1"/>
  <pageMargins left="0.5" right="0.5" top="0.5" bottom="0.5" header="0.3" footer="0.3"/>
  <pageSetup scale="37" orientation="portrait" r:id="rId1"/>
  <headerFooter scaleWithDoc="0">
    <oddHeader xml:space="preserve">&amp;R&amp;"Times New Roman,Regular"&amp;7
</oddHeader>
    <oddFooter>&amp;LPRIVELEGED AND CONFIDENTIAL&amp;R&amp;G</oddFooter>
    <firstHeader>&amp;CEXECUTIVE SUMMARY</firstHeader>
  </headerFooter>
  <rowBreaks count="1" manualBreakCount="1">
    <brk id="62" max="17" man="1"/>
  </rowBreaks>
  <legacy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</sheetPr>
  <dimension ref="A1:AA87"/>
  <sheetViews>
    <sheetView showGridLines="0" zoomScaleNormal="100" zoomScaleSheetLayoutView="94" zoomScalePageLayoutView="77" workbookViewId="0">
      <selection activeCell="M36" sqref="M36"/>
    </sheetView>
  </sheetViews>
  <sheetFormatPr defaultColWidth="9.140625" defaultRowHeight="15.75"/>
  <cols>
    <col min="1" max="1" width="8.140625" style="7" customWidth="1"/>
    <col min="2" max="2" width="3.85546875" style="7" customWidth="1"/>
    <col min="3" max="3" width="7" style="7" customWidth="1"/>
    <col min="4" max="4" width="9.140625" style="7" bestFit="1" customWidth="1"/>
    <col min="5" max="5" width="9.140625" style="7"/>
    <col min="6" max="6" width="9.140625" style="7" bestFit="1" customWidth="1"/>
    <col min="7" max="7" width="16.85546875" style="7" bestFit="1" customWidth="1"/>
    <col min="8" max="8" width="5.140625" style="7" customWidth="1"/>
    <col min="9" max="9" width="16.85546875" style="7" bestFit="1" customWidth="1"/>
    <col min="10" max="10" width="4.85546875" style="7" customWidth="1"/>
    <col min="11" max="11" width="18.5703125" style="7" bestFit="1" customWidth="1"/>
    <col min="12" max="13" width="9.140625" style="7"/>
    <col min="14" max="14" width="10.42578125" style="7" customWidth="1"/>
    <col min="15" max="15" width="10.85546875" style="7" customWidth="1"/>
    <col min="16" max="16" width="12.85546875" style="7" bestFit="1" customWidth="1"/>
    <col min="17" max="17" width="11.85546875" style="7" customWidth="1"/>
    <col min="18" max="25" width="9.140625" style="7"/>
    <col min="26" max="26" width="9.140625" style="7" customWidth="1"/>
    <col min="27" max="16384" width="9.140625" style="7"/>
  </cols>
  <sheetData>
    <row r="1" spans="1:27" ht="18.75">
      <c r="A1" s="1602" t="str">
        <f>UPPER('Input Page'!$F$32)</f>
        <v/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24" t="s">
        <v>851</v>
      </c>
      <c r="U1" s="1738" t="s">
        <v>852</v>
      </c>
      <c r="V1" s="1623"/>
      <c r="W1" s="1623"/>
      <c r="X1" s="1623"/>
      <c r="Y1" s="1624"/>
      <c r="Z1" s="497"/>
    </row>
    <row r="2" spans="1:27" ht="18.75">
      <c r="A2" s="1602" t="s">
        <v>853</v>
      </c>
      <c r="B2" s="1602"/>
      <c r="C2" s="1602"/>
      <c r="D2" s="1602"/>
      <c r="E2" s="1602"/>
      <c r="F2" s="1602"/>
      <c r="G2" s="1602"/>
      <c r="H2" s="1602"/>
      <c r="I2" s="1602"/>
      <c r="J2" s="1602"/>
      <c r="K2" s="1602"/>
      <c r="U2" s="1625"/>
      <c r="V2" s="1626"/>
      <c r="W2" s="1626"/>
      <c r="X2" s="1626"/>
      <c r="Y2" s="1627"/>
      <c r="Z2" s="497"/>
    </row>
    <row r="3" spans="1:27" ht="17.25" thickBot="1">
      <c r="A3" s="47"/>
      <c r="B3" s="295"/>
      <c r="C3" s="295"/>
      <c r="D3" s="295"/>
      <c r="E3" s="295"/>
      <c r="U3" s="1625"/>
      <c r="V3" s="1626"/>
      <c r="W3" s="1626"/>
      <c r="X3" s="1626"/>
      <c r="Y3" s="1627"/>
      <c r="Z3" s="15"/>
    </row>
    <row r="4" spans="1:27">
      <c r="A4" s="926"/>
      <c r="B4" s="922"/>
      <c r="C4" s="922"/>
      <c r="D4" s="922"/>
      <c r="E4" s="922"/>
      <c r="F4" s="922"/>
      <c r="G4" s="923" t="s">
        <v>226</v>
      </c>
      <c r="H4" s="924"/>
      <c r="I4" s="923" t="s">
        <v>854</v>
      </c>
      <c r="J4" s="924"/>
      <c r="K4" s="925" t="s">
        <v>855</v>
      </c>
      <c r="O4" s="691" t="s">
        <v>856</v>
      </c>
      <c r="P4" s="690">
        <f>G16+0.01</f>
        <v>0.91</v>
      </c>
      <c r="Q4" s="500" t="e">
        <f>P4*G15</f>
        <v>#DIV/0!</v>
      </c>
      <c r="U4" s="1625"/>
      <c r="V4" s="1626"/>
      <c r="W4" s="1626"/>
      <c r="X4" s="1626"/>
      <c r="Y4" s="1627"/>
    </row>
    <row r="5" spans="1:27" ht="16.5" thickBot="1">
      <c r="A5" s="135"/>
      <c r="C5" s="7" t="s">
        <v>857</v>
      </c>
      <c r="G5" s="484" t="e">
        <f>I5+K5</f>
        <v>#DIV/0!</v>
      </c>
      <c r="H5" s="500"/>
      <c r="I5" s="484">
        <f>'Development Costs'!P124</f>
        <v>0</v>
      </c>
      <c r="J5" s="500"/>
      <c r="K5" s="501" t="e">
        <f>'Development Costs'!R124</f>
        <v>#DIV/0!</v>
      </c>
      <c r="M5" s="137"/>
      <c r="O5" s="691" t="s">
        <v>858</v>
      </c>
      <c r="P5" s="692"/>
      <c r="Q5" s="1047" t="e">
        <f>G20</f>
        <v>#DIV/0!</v>
      </c>
      <c r="U5" s="1628"/>
      <c r="V5" s="1629"/>
      <c r="W5" s="1629"/>
      <c r="X5" s="1629"/>
      <c r="Y5" s="1630"/>
    </row>
    <row r="6" spans="1:27" ht="16.5" thickBot="1">
      <c r="A6" s="135"/>
      <c r="C6" s="7" t="s">
        <v>859</v>
      </c>
      <c r="F6" s="498">
        <v>0.3</v>
      </c>
      <c r="G6" s="484" t="e">
        <f>I6+K6</f>
        <v>#DIV/0!</v>
      </c>
      <c r="H6" s="500"/>
      <c r="I6" s="500"/>
      <c r="J6" s="500"/>
      <c r="K6" s="501" t="e">
        <f>K5*(F6)</f>
        <v>#DIV/0!</v>
      </c>
      <c r="O6" s="694" t="s">
        <v>860</v>
      </c>
      <c r="Q6" s="693" t="e">
        <f>Q4-Q5</f>
        <v>#DIV/0!</v>
      </c>
      <c r="U6" s="510" t="s">
        <v>861</v>
      </c>
      <c r="AA6" s="7" t="s">
        <v>862</v>
      </c>
    </row>
    <row r="7" spans="1:27" ht="16.5" thickBot="1">
      <c r="A7" s="135"/>
      <c r="C7" s="7" t="s">
        <v>863</v>
      </c>
      <c r="G7" s="502"/>
      <c r="H7" s="502"/>
      <c r="I7" s="502"/>
      <c r="J7" s="502"/>
      <c r="K7" s="503">
        <f>IF(AND(G33&gt;0,M8="NO"),-G35,0)</f>
        <v>0</v>
      </c>
    </row>
    <row r="8" spans="1:27" ht="16.5" thickBot="1">
      <c r="A8" s="135"/>
      <c r="B8" s="7" t="s">
        <v>864</v>
      </c>
      <c r="F8" s="499" t="e">
        <f>('Unit Mix'!D14+'Unit Mix'!D27)/'Unit Mix'!D39</f>
        <v>#DIV/0!</v>
      </c>
      <c r="I8" s="489" t="e">
        <f>F8</f>
        <v>#DIV/0!</v>
      </c>
      <c r="J8" s="15"/>
      <c r="K8" s="509" t="e">
        <f>F8</f>
        <v>#DIV/0!</v>
      </c>
      <c r="M8" s="487" t="s">
        <v>44</v>
      </c>
      <c r="N8" s="7" t="s">
        <v>865</v>
      </c>
    </row>
    <row r="9" spans="1:27">
      <c r="A9" s="135"/>
      <c r="G9" s="226"/>
      <c r="H9" s="226"/>
      <c r="I9" s="226"/>
      <c r="J9" s="226"/>
      <c r="K9" s="296"/>
    </row>
    <row r="10" spans="1:27">
      <c r="A10" s="135"/>
      <c r="B10" s="7" t="s">
        <v>866</v>
      </c>
      <c r="G10" s="500" t="e">
        <f>SUM(G5:G6)</f>
        <v>#DIV/0!</v>
      </c>
      <c r="H10" s="500"/>
      <c r="I10" s="500" t="e">
        <f>I5*I8</f>
        <v>#DIV/0!</v>
      </c>
      <c r="J10" s="500"/>
      <c r="K10" s="504" t="e">
        <f>SUM(K5:K7)*K8</f>
        <v>#DIV/0!</v>
      </c>
      <c r="M10" s="485" t="e">
        <f>I13+K13</f>
        <v>#DIV/0!</v>
      </c>
      <c r="N10" s="7" t="s">
        <v>867</v>
      </c>
    </row>
    <row r="11" spans="1:27">
      <c r="A11" s="135"/>
      <c r="C11" s="7" t="s">
        <v>868</v>
      </c>
      <c r="G11" s="29"/>
      <c r="I11" s="488">
        <v>0.99990000000000001</v>
      </c>
      <c r="J11" s="15"/>
      <c r="K11" s="506">
        <v>0.99990000000000001</v>
      </c>
      <c r="M11" s="487" t="s">
        <v>44</v>
      </c>
      <c r="N11" s="7" t="s">
        <v>869</v>
      </c>
    </row>
    <row r="12" spans="1:27">
      <c r="A12" s="135"/>
      <c r="B12" s="7" t="s">
        <v>870</v>
      </c>
      <c r="G12" s="52"/>
      <c r="I12" s="505">
        <v>0.04</v>
      </c>
      <c r="J12" s="15"/>
      <c r="K12" s="506">
        <v>0.04</v>
      </c>
      <c r="M12" s="483"/>
      <c r="N12" s="7" t="s">
        <v>871</v>
      </c>
    </row>
    <row r="13" spans="1:27" ht="16.5" thickBot="1">
      <c r="A13" s="135"/>
      <c r="B13" s="7" t="s">
        <v>872</v>
      </c>
      <c r="G13" s="500" t="e">
        <f>IF($M$11="yes",$M$12,$I$13+$K$13)</f>
        <v>#DIV/0!</v>
      </c>
      <c r="H13" s="39"/>
      <c r="I13" s="500" t="e">
        <f>I12*I10*I11</f>
        <v>#DIV/0!</v>
      </c>
      <c r="J13" s="500"/>
      <c r="K13" s="504" t="e">
        <f>K12*K10*K11</f>
        <v>#DIV/0!</v>
      </c>
    </row>
    <row r="14" spans="1:27">
      <c r="A14" s="135"/>
      <c r="C14" s="7" t="s">
        <v>873</v>
      </c>
      <c r="G14" s="1047">
        <v>10</v>
      </c>
      <c r="K14" s="140"/>
      <c r="M14" s="964" t="s">
        <v>874</v>
      </c>
      <c r="N14" s="138"/>
      <c r="O14" s="138"/>
      <c r="P14" s="138"/>
      <c r="Q14" s="222"/>
    </row>
    <row r="15" spans="1:27">
      <c r="A15" s="135"/>
      <c r="B15" s="7" t="s">
        <v>875</v>
      </c>
      <c r="G15" s="500" t="e">
        <f>G14*G13</f>
        <v>#DIV/0!</v>
      </c>
      <c r="I15" s="40"/>
      <c r="K15" s="140"/>
      <c r="M15" s="135"/>
      <c r="Q15" s="140"/>
    </row>
    <row r="16" spans="1:27">
      <c r="A16" s="135"/>
      <c r="C16" s="7" t="s">
        <v>876</v>
      </c>
      <c r="G16" s="508">
        <v>0.9</v>
      </c>
      <c r="K16" s="140"/>
      <c r="M16" s="135"/>
      <c r="N16" s="7" t="s">
        <v>352</v>
      </c>
      <c r="P16" s="500" t="e">
        <f>'Development Costs'!$I$124</f>
        <v>#DIV/0!</v>
      </c>
      <c r="Q16" s="140"/>
    </row>
    <row r="17" spans="1:17">
      <c r="A17" s="135"/>
      <c r="G17" s="507"/>
      <c r="K17" s="140"/>
      <c r="M17" s="135"/>
      <c r="N17" s="7" t="s">
        <v>877</v>
      </c>
      <c r="P17" s="502" t="e">
        <f>-'LIHTC Exec Summary'!F30-'LIHTC Exec Summary'!F32-'LIHTC Exec Summary'!F33-'LIHTC Exec Summary'!F34-'LIHTC Exec Summary'!F38-'LIHTC Exec Summary'!F39-'LIHTC Exec Summary'!F40-'LIHTC Exec Summary'!F41</f>
        <v>#DIV/0!</v>
      </c>
      <c r="Q17" s="140"/>
    </row>
    <row r="18" spans="1:17">
      <c r="A18" s="135"/>
      <c r="G18" s="959"/>
      <c r="I18" s="40"/>
      <c r="K18" s="140"/>
      <c r="M18" s="135"/>
      <c r="P18" s="485" t="e">
        <f>SUM(P16:P17)</f>
        <v>#DIV/0!</v>
      </c>
      <c r="Q18" s="140"/>
    </row>
    <row r="19" spans="1:17">
      <c r="A19" s="135"/>
      <c r="G19" s="484"/>
      <c r="K19" s="140"/>
      <c r="M19" s="135"/>
      <c r="N19" s="7" t="s">
        <v>878</v>
      </c>
      <c r="P19" s="690">
        <f>G16</f>
        <v>0.9</v>
      </c>
      <c r="Q19" s="140"/>
    </row>
    <row r="20" spans="1:17" ht="16.5" thickBot="1">
      <c r="A20" s="927" t="s">
        <v>879</v>
      </c>
      <c r="B20" s="928"/>
      <c r="C20" s="928"/>
      <c r="D20" s="928"/>
      <c r="E20" s="928"/>
      <c r="F20" s="928"/>
      <c r="G20" s="929" t="e">
        <f>(G16*G15)</f>
        <v>#DIV/0!</v>
      </c>
      <c r="H20" s="928"/>
      <c r="I20" s="928"/>
      <c r="J20" s="928"/>
      <c r="K20" s="930"/>
      <c r="M20" s="135"/>
      <c r="P20" s="502" t="e">
        <f>P18/P19</f>
        <v>#DIV/0!</v>
      </c>
      <c r="Q20" s="140"/>
    </row>
    <row r="21" spans="1:17" ht="16.5" thickBot="1">
      <c r="G21" s="732"/>
      <c r="M21" s="136"/>
      <c r="N21" s="139" t="s">
        <v>880</v>
      </c>
      <c r="O21" s="139"/>
      <c r="P21" s="564" t="e">
        <f>P20/10</f>
        <v>#DIV/0!</v>
      </c>
      <c r="Q21" s="141"/>
    </row>
    <row r="22" spans="1:17" ht="16.5" thickBot="1">
      <c r="G22" s="732"/>
    </row>
    <row r="23" spans="1:17">
      <c r="A23" s="960" t="s">
        <v>881</v>
      </c>
      <c r="B23" s="138"/>
      <c r="C23" s="138"/>
      <c r="D23" s="138"/>
      <c r="E23" s="138"/>
      <c r="F23" s="138"/>
      <c r="G23" s="961"/>
      <c r="H23" s="138"/>
      <c r="I23" s="138"/>
      <c r="J23" s="138"/>
      <c r="K23" s="222"/>
      <c r="M23" s="487" t="s">
        <v>43</v>
      </c>
      <c r="N23" s="7" t="s">
        <v>882</v>
      </c>
    </row>
    <row r="24" spans="1:17">
      <c r="A24" s="135"/>
      <c r="G24" s="732"/>
      <c r="K24" s="140"/>
      <c r="M24" s="7" t="s">
        <v>883</v>
      </c>
    </row>
    <row r="25" spans="1:17">
      <c r="A25" s="135" t="s">
        <v>884</v>
      </c>
      <c r="G25" s="484" t="e">
        <f>G15</f>
        <v>#DIV/0!</v>
      </c>
      <c r="K25" s="140"/>
    </row>
    <row r="26" spans="1:17">
      <c r="A26" s="135" t="s">
        <v>885</v>
      </c>
      <c r="G26" s="958">
        <v>0</v>
      </c>
      <c r="K26" s="140"/>
    </row>
    <row r="27" spans="1:17">
      <c r="A27" s="794"/>
      <c r="B27" s="226"/>
      <c r="C27" s="226"/>
      <c r="D27" s="226"/>
      <c r="E27" s="226"/>
      <c r="F27" s="226"/>
      <c r="G27" s="955"/>
      <c r="H27" s="226"/>
      <c r="I27" s="226"/>
      <c r="J27" s="226"/>
      <c r="K27" s="296"/>
    </row>
    <row r="28" spans="1:17" ht="16.5" thickBot="1">
      <c r="A28" s="170" t="s">
        <v>886</v>
      </c>
      <c r="B28" s="139"/>
      <c r="C28" s="139"/>
      <c r="D28" s="139"/>
      <c r="E28" s="139"/>
      <c r="F28" s="139"/>
      <c r="G28" s="963" t="e">
        <f>G25*G26</f>
        <v>#DIV/0!</v>
      </c>
      <c r="H28" s="139"/>
      <c r="I28" s="139"/>
      <c r="J28" s="139"/>
      <c r="K28" s="141"/>
    </row>
    <row r="29" spans="1:17">
      <c r="G29" s="732"/>
    </row>
    <row r="30" spans="1:17" ht="16.5" thickBot="1">
      <c r="G30" s="732"/>
    </row>
    <row r="31" spans="1:17">
      <c r="A31" s="960" t="s">
        <v>887</v>
      </c>
      <c r="B31" s="138"/>
      <c r="C31" s="138"/>
      <c r="D31" s="138"/>
      <c r="E31" s="138"/>
      <c r="F31" s="138"/>
      <c r="G31" s="961"/>
      <c r="H31" s="138"/>
      <c r="I31" s="138"/>
      <c r="J31" s="138"/>
      <c r="K31" s="222"/>
      <c r="M31" s="487" t="s">
        <v>44</v>
      </c>
      <c r="N31" s="7" t="s">
        <v>888</v>
      </c>
    </row>
    <row r="32" spans="1:17">
      <c r="A32" s="135"/>
      <c r="G32" s="955" t="s">
        <v>889</v>
      </c>
      <c r="H32" s="956"/>
      <c r="I32" s="956" t="s">
        <v>890</v>
      </c>
      <c r="K32" s="962" t="s">
        <v>891</v>
      </c>
      <c r="M32" s="487" t="s">
        <v>44</v>
      </c>
      <c r="N32" s="7" t="s">
        <v>892</v>
      </c>
    </row>
    <row r="33" spans="1:13">
      <c r="A33" s="135" t="s">
        <v>893</v>
      </c>
      <c r="G33" s="500">
        <f>'Development Costs'!N124</f>
        <v>0</v>
      </c>
      <c r="H33" s="500"/>
      <c r="I33" s="500">
        <f>G33</f>
        <v>0</v>
      </c>
      <c r="K33" s="140"/>
      <c r="M33" s="7" t="s">
        <v>894</v>
      </c>
    </row>
    <row r="34" spans="1:13">
      <c r="A34" s="135" t="s">
        <v>895</v>
      </c>
      <c r="G34" s="1057">
        <v>0.2</v>
      </c>
      <c r="I34" s="505">
        <v>0.25</v>
      </c>
      <c r="K34" s="140"/>
      <c r="M34" s="7" t="s">
        <v>896</v>
      </c>
    </row>
    <row r="35" spans="1:13">
      <c r="A35" s="135" t="s">
        <v>897</v>
      </c>
      <c r="G35" s="732">
        <f>G33*G34</f>
        <v>0</v>
      </c>
      <c r="I35" s="732">
        <f>I34*I33</f>
        <v>0</v>
      </c>
      <c r="K35" s="767">
        <f>G35+I35</f>
        <v>0</v>
      </c>
    </row>
    <row r="36" spans="1:13">
      <c r="A36" s="135"/>
      <c r="G36" s="732"/>
      <c r="K36" s="140"/>
    </row>
    <row r="37" spans="1:13">
      <c r="A37" s="135" t="s">
        <v>898</v>
      </c>
      <c r="G37" s="957">
        <f>$K$11</f>
        <v>0.99990000000000001</v>
      </c>
      <c r="I37" s="957">
        <f>G37</f>
        <v>0.99990000000000001</v>
      </c>
      <c r="K37" s="140"/>
    </row>
    <row r="38" spans="1:13">
      <c r="A38" s="794" t="s">
        <v>899</v>
      </c>
      <c r="B38" s="226"/>
      <c r="C38" s="226"/>
      <c r="D38" s="226"/>
      <c r="E38" s="226"/>
      <c r="F38" s="226"/>
      <c r="G38" s="958">
        <v>0.85</v>
      </c>
      <c r="H38" s="226"/>
      <c r="I38" s="958"/>
      <c r="J38" s="226"/>
      <c r="K38" s="296"/>
    </row>
    <row r="39" spans="1:13" ht="16.5" thickBot="1">
      <c r="A39" s="170" t="s">
        <v>900</v>
      </c>
      <c r="B39" s="139"/>
      <c r="C39" s="139"/>
      <c r="D39" s="139"/>
      <c r="E39" s="139"/>
      <c r="F39" s="139"/>
      <c r="G39" s="963">
        <f>G35*G37*G38</f>
        <v>0</v>
      </c>
      <c r="H39" s="963"/>
      <c r="I39" s="963">
        <f t="shared" ref="I39" si="0">I35*I37*I38</f>
        <v>0</v>
      </c>
      <c r="J39" s="139"/>
      <c r="K39" s="141"/>
    </row>
    <row r="40" spans="1:13">
      <c r="G40" s="732"/>
    </row>
    <row r="41" spans="1:13">
      <c r="G41" s="732"/>
    </row>
    <row r="43" spans="1:13" ht="16.5" thickBot="1">
      <c r="A43" s="1741" t="s">
        <v>901</v>
      </c>
      <c r="B43" s="1741"/>
      <c r="C43" s="1741"/>
      <c r="D43" s="1741"/>
      <c r="E43" s="1741"/>
      <c r="F43" s="1741"/>
      <c r="G43" s="1741"/>
      <c r="I43" s="1741" t="s">
        <v>902</v>
      </c>
      <c r="J43" s="1741"/>
      <c r="K43" s="1741"/>
    </row>
    <row r="44" spans="1:13">
      <c r="A44" s="674"/>
      <c r="B44" s="138"/>
      <c r="C44" s="138"/>
      <c r="D44" s="138"/>
      <c r="E44" s="138"/>
      <c r="F44" s="138"/>
      <c r="G44" s="1054" t="s">
        <v>903</v>
      </c>
      <c r="H44" s="21"/>
      <c r="I44" s="1743" t="s">
        <v>904</v>
      </c>
      <c r="J44" s="138"/>
      <c r="K44" s="1739" t="s">
        <v>905</v>
      </c>
    </row>
    <row r="45" spans="1:13" ht="16.5" thickBot="1">
      <c r="A45" s="1742" t="s">
        <v>906</v>
      </c>
      <c r="B45" s="1686"/>
      <c r="C45" s="1686" t="s">
        <v>178</v>
      </c>
      <c r="D45" s="1686"/>
      <c r="E45" s="1686" t="s">
        <v>905</v>
      </c>
      <c r="F45" s="1686"/>
      <c r="G45" s="1055" t="s">
        <v>905</v>
      </c>
      <c r="H45" s="30"/>
      <c r="I45" s="1744"/>
      <c r="J45" s="139"/>
      <c r="K45" s="1740"/>
    </row>
    <row r="46" spans="1:13">
      <c r="A46" s="1745">
        <f>'Timing-Leasing-TC Delivery'!$H$5</f>
        <v>0</v>
      </c>
      <c r="B46" s="1746"/>
      <c r="C46" s="1747">
        <f>'Timing-Leasing-TC Delivery'!O15</f>
        <v>0</v>
      </c>
      <c r="D46" s="1619"/>
      <c r="E46" s="1747" t="e">
        <f>'Timing-Leasing-TC Delivery'!AA15</f>
        <v>#DIV/0!</v>
      </c>
      <c r="F46" s="1619"/>
      <c r="G46" s="555" t="e">
        <f>E46</f>
        <v>#DIV/0!</v>
      </c>
      <c r="I46" s="1406">
        <f>'Timing-Leasing-TC Delivery'!AO39</f>
        <v>1900</v>
      </c>
      <c r="K46" s="555" t="e">
        <f>'Timing-Leasing-TC Delivery'!AP39</f>
        <v>#DIV/0!</v>
      </c>
    </row>
    <row r="47" spans="1:13">
      <c r="A47" s="1745">
        <f>EDATE(A46,1)</f>
        <v>31</v>
      </c>
      <c r="B47" s="1746"/>
      <c r="C47" s="1747">
        <f>'Timing-Leasing-TC Delivery'!O16</f>
        <v>0</v>
      </c>
      <c r="D47" s="1619"/>
      <c r="E47" s="1747" t="e">
        <f>'Timing-Leasing-TC Delivery'!AA16</f>
        <v>#DIV/0!</v>
      </c>
      <c r="F47" s="1619"/>
      <c r="G47" s="555" t="e">
        <f>G46+E47</f>
        <v>#DIV/0!</v>
      </c>
      <c r="I47" s="1406">
        <f>'Timing-Leasing-TC Delivery'!AO40</f>
        <v>1901</v>
      </c>
      <c r="K47" s="555" t="e">
        <f>'Timing-Leasing-TC Delivery'!AP40</f>
        <v>#DIV/0!</v>
      </c>
    </row>
    <row r="48" spans="1:13">
      <c r="A48" s="1745">
        <f t="shared" ref="A48:A74" si="1">EDATE(A47,1)</f>
        <v>59</v>
      </c>
      <c r="B48" s="1746"/>
      <c r="C48" s="1747">
        <f>'Timing-Leasing-TC Delivery'!O17</f>
        <v>0</v>
      </c>
      <c r="D48" s="1619"/>
      <c r="E48" s="1747" t="e">
        <f>'Timing-Leasing-TC Delivery'!AA17</f>
        <v>#DIV/0!</v>
      </c>
      <c r="F48" s="1619"/>
      <c r="G48" s="555" t="e">
        <f t="shared" ref="G48:G74" si="2">G47+E48</f>
        <v>#DIV/0!</v>
      </c>
      <c r="I48" s="1406">
        <f>'Timing-Leasing-TC Delivery'!AO41</f>
        <v>1902</v>
      </c>
      <c r="K48" s="555" t="e">
        <f>'Timing-Leasing-TC Delivery'!AP41</f>
        <v>#DIV/0!</v>
      </c>
    </row>
    <row r="49" spans="1:12">
      <c r="A49" s="1745">
        <f t="shared" si="1"/>
        <v>88</v>
      </c>
      <c r="B49" s="1746"/>
      <c r="C49" s="1747">
        <f>'Timing-Leasing-TC Delivery'!O18</f>
        <v>0</v>
      </c>
      <c r="D49" s="1619"/>
      <c r="E49" s="1747" t="e">
        <f>'Timing-Leasing-TC Delivery'!AA18</f>
        <v>#DIV/0!</v>
      </c>
      <c r="F49" s="1619"/>
      <c r="G49" s="555" t="e">
        <f t="shared" si="2"/>
        <v>#DIV/0!</v>
      </c>
      <c r="I49" s="1406">
        <f>'Timing-Leasing-TC Delivery'!AO42</f>
        <v>1903</v>
      </c>
      <c r="K49" s="555" t="e">
        <f>'Timing-Leasing-TC Delivery'!AP42</f>
        <v>#DIV/0!</v>
      </c>
    </row>
    <row r="50" spans="1:12">
      <c r="A50" s="1745">
        <f t="shared" si="1"/>
        <v>119</v>
      </c>
      <c r="B50" s="1746"/>
      <c r="C50" s="1747">
        <f>'Timing-Leasing-TC Delivery'!O19</f>
        <v>0</v>
      </c>
      <c r="D50" s="1619"/>
      <c r="E50" s="1747" t="e">
        <f>'Timing-Leasing-TC Delivery'!AA19</f>
        <v>#DIV/0!</v>
      </c>
      <c r="F50" s="1619"/>
      <c r="G50" s="555" t="e">
        <f t="shared" si="2"/>
        <v>#DIV/0!</v>
      </c>
      <c r="I50" s="1406">
        <f>'Timing-Leasing-TC Delivery'!AO43</f>
        <v>1904</v>
      </c>
      <c r="K50" s="555" t="e">
        <f>'Timing-Leasing-TC Delivery'!AP43</f>
        <v>#DIV/0!</v>
      </c>
    </row>
    <row r="51" spans="1:12">
      <c r="A51" s="1745">
        <f t="shared" si="1"/>
        <v>149</v>
      </c>
      <c r="B51" s="1746"/>
      <c r="C51" s="1747">
        <f>'Timing-Leasing-TC Delivery'!O20</f>
        <v>0</v>
      </c>
      <c r="D51" s="1619"/>
      <c r="E51" s="1747" t="e">
        <f>'Timing-Leasing-TC Delivery'!AA20</f>
        <v>#DIV/0!</v>
      </c>
      <c r="F51" s="1619"/>
      <c r="G51" s="555" t="e">
        <f t="shared" si="2"/>
        <v>#DIV/0!</v>
      </c>
      <c r="I51" s="1406">
        <f>'Timing-Leasing-TC Delivery'!AO44</f>
        <v>1905</v>
      </c>
      <c r="K51" s="555" t="e">
        <f>'Timing-Leasing-TC Delivery'!AP44</f>
        <v>#DIV/0!</v>
      </c>
    </row>
    <row r="52" spans="1:12">
      <c r="A52" s="1745">
        <f t="shared" si="1"/>
        <v>180</v>
      </c>
      <c r="B52" s="1746"/>
      <c r="C52" s="1747">
        <f>'Timing-Leasing-TC Delivery'!O21</f>
        <v>0</v>
      </c>
      <c r="D52" s="1619"/>
      <c r="E52" s="1747" t="e">
        <f>'Timing-Leasing-TC Delivery'!AA21</f>
        <v>#DIV/0!</v>
      </c>
      <c r="F52" s="1619"/>
      <c r="G52" s="555" t="e">
        <f t="shared" si="2"/>
        <v>#DIV/0!</v>
      </c>
      <c r="I52" s="1406">
        <f>'Timing-Leasing-TC Delivery'!AO45</f>
        <v>1906</v>
      </c>
      <c r="K52" s="555" t="e">
        <f>'Timing-Leasing-TC Delivery'!AP45</f>
        <v>#DIV/0!</v>
      </c>
    </row>
    <row r="53" spans="1:12">
      <c r="A53" s="1745">
        <f t="shared" si="1"/>
        <v>210</v>
      </c>
      <c r="B53" s="1746"/>
      <c r="C53" s="1747">
        <f>'Timing-Leasing-TC Delivery'!O22</f>
        <v>0</v>
      </c>
      <c r="D53" s="1619"/>
      <c r="E53" s="1747" t="e">
        <f>'Timing-Leasing-TC Delivery'!AA22</f>
        <v>#DIV/0!</v>
      </c>
      <c r="F53" s="1619"/>
      <c r="G53" s="555" t="e">
        <f t="shared" si="2"/>
        <v>#DIV/0!</v>
      </c>
      <c r="I53" s="1406">
        <f>'Timing-Leasing-TC Delivery'!AO46</f>
        <v>1907</v>
      </c>
      <c r="K53" s="555" t="e">
        <f>'Timing-Leasing-TC Delivery'!AP46</f>
        <v>#DIV/0!</v>
      </c>
    </row>
    <row r="54" spans="1:12">
      <c r="A54" s="1745">
        <f t="shared" si="1"/>
        <v>241</v>
      </c>
      <c r="B54" s="1746"/>
      <c r="C54" s="1747">
        <f>'Timing-Leasing-TC Delivery'!O23</f>
        <v>0</v>
      </c>
      <c r="D54" s="1619"/>
      <c r="E54" s="1747" t="e">
        <f>'Timing-Leasing-TC Delivery'!AA23</f>
        <v>#DIV/0!</v>
      </c>
      <c r="F54" s="1619"/>
      <c r="G54" s="555" t="e">
        <f t="shared" si="2"/>
        <v>#DIV/0!</v>
      </c>
      <c r="I54" s="1406">
        <f>'Timing-Leasing-TC Delivery'!AO47</f>
        <v>1908</v>
      </c>
      <c r="K54" s="555" t="e">
        <f>'Timing-Leasing-TC Delivery'!AP47</f>
        <v>#DIV/0!</v>
      </c>
    </row>
    <row r="55" spans="1:12">
      <c r="A55" s="1745">
        <f t="shared" si="1"/>
        <v>272</v>
      </c>
      <c r="B55" s="1746"/>
      <c r="C55" s="1747">
        <f>'Timing-Leasing-TC Delivery'!O24</f>
        <v>0</v>
      </c>
      <c r="D55" s="1619"/>
      <c r="E55" s="1747" t="e">
        <f>'Timing-Leasing-TC Delivery'!AA24</f>
        <v>#DIV/0!</v>
      </c>
      <c r="F55" s="1619"/>
      <c r="G55" s="555" t="e">
        <f t="shared" si="2"/>
        <v>#DIV/0!</v>
      </c>
      <c r="I55" s="1406">
        <f>'Timing-Leasing-TC Delivery'!AO48</f>
        <v>1909</v>
      </c>
      <c r="K55" s="555" t="e">
        <f>'Timing-Leasing-TC Delivery'!AP48</f>
        <v>#DIV/0!</v>
      </c>
    </row>
    <row r="56" spans="1:12">
      <c r="A56" s="1745">
        <f t="shared" si="1"/>
        <v>302</v>
      </c>
      <c r="B56" s="1746"/>
      <c r="C56" s="1747">
        <f>'Timing-Leasing-TC Delivery'!O25</f>
        <v>0</v>
      </c>
      <c r="D56" s="1619"/>
      <c r="E56" s="1747" t="e">
        <f>'Timing-Leasing-TC Delivery'!AA25</f>
        <v>#DIV/0!</v>
      </c>
      <c r="F56" s="1619"/>
      <c r="G56" s="555" t="e">
        <f t="shared" si="2"/>
        <v>#DIV/0!</v>
      </c>
      <c r="I56" s="1406">
        <f>'Timing-Leasing-TC Delivery'!AO49</f>
        <v>1910</v>
      </c>
      <c r="K56" s="555" t="e">
        <f>'Timing-Leasing-TC Delivery'!AP49</f>
        <v>#DIV/0!</v>
      </c>
    </row>
    <row r="57" spans="1:12" ht="16.5" thickBot="1">
      <c r="A57" s="1745">
        <f t="shared" si="1"/>
        <v>333</v>
      </c>
      <c r="B57" s="1746"/>
      <c r="C57" s="1747">
        <f>'Timing-Leasing-TC Delivery'!O26</f>
        <v>0</v>
      </c>
      <c r="D57" s="1619"/>
      <c r="E57" s="1747" t="e">
        <f>'Timing-Leasing-TC Delivery'!AA26</f>
        <v>#DIV/0!</v>
      </c>
      <c r="F57" s="1619"/>
      <c r="G57" s="555" t="e">
        <f t="shared" si="2"/>
        <v>#DIV/0!</v>
      </c>
      <c r="I57" s="1405">
        <f>'Timing-Leasing-TC Delivery'!AO50</f>
        <v>1911</v>
      </c>
      <c r="J57" s="139"/>
      <c r="K57" s="556" t="e">
        <f>'Timing-Leasing-TC Delivery'!AP50</f>
        <v>#DIV/0!</v>
      </c>
    </row>
    <row r="58" spans="1:12" ht="16.5" thickBot="1">
      <c r="A58" s="1745">
        <f t="shared" si="1"/>
        <v>363</v>
      </c>
      <c r="B58" s="1746"/>
      <c r="C58" s="1747">
        <f>'Timing-Leasing-TC Delivery'!O36</f>
        <v>0</v>
      </c>
      <c r="D58" s="1619">
        <f>'Timing-Leasing-TC Delivery'!G36</f>
        <v>0</v>
      </c>
      <c r="E58" s="1747" t="e">
        <f>'Timing-Leasing-TC Delivery'!AA36</f>
        <v>#DIV/0!</v>
      </c>
      <c r="F58" s="1619"/>
      <c r="G58" s="555" t="e">
        <f t="shared" si="2"/>
        <v>#DIV/0!</v>
      </c>
      <c r="I58" s="1415" t="s">
        <v>226</v>
      </c>
      <c r="J58" s="139"/>
      <c r="K58" s="1056" t="e">
        <f>SUM(K46:K57)</f>
        <v>#DIV/0!</v>
      </c>
    </row>
    <row r="59" spans="1:12">
      <c r="A59" s="1745">
        <f t="shared" si="1"/>
        <v>394</v>
      </c>
      <c r="B59" s="1746"/>
      <c r="C59" s="1747">
        <f>'Timing-Leasing-TC Delivery'!O37</f>
        <v>0</v>
      </c>
      <c r="D59" s="1619">
        <f>'Timing-Leasing-TC Delivery'!G37</f>
        <v>0</v>
      </c>
      <c r="E59" s="1747" t="e">
        <f>'Timing-Leasing-TC Delivery'!AA37</f>
        <v>#DIV/0!</v>
      </c>
      <c r="F59" s="1619"/>
      <c r="G59" s="555" t="e">
        <f t="shared" si="2"/>
        <v>#DIV/0!</v>
      </c>
      <c r="I59" s="15"/>
    </row>
    <row r="60" spans="1:12">
      <c r="A60" s="1745">
        <f t="shared" si="1"/>
        <v>425</v>
      </c>
      <c r="B60" s="1746"/>
      <c r="C60" s="1747">
        <f>'Timing-Leasing-TC Delivery'!O38</f>
        <v>0</v>
      </c>
      <c r="D60" s="1619">
        <f>'Timing-Leasing-TC Delivery'!G38</f>
        <v>0</v>
      </c>
      <c r="E60" s="1747" t="e">
        <f>'Timing-Leasing-TC Delivery'!AA38</f>
        <v>#DIV/0!</v>
      </c>
      <c r="F60" s="1619"/>
      <c r="G60" s="555" t="e">
        <f t="shared" si="2"/>
        <v>#DIV/0!</v>
      </c>
      <c r="I60" s="15"/>
    </row>
    <row r="61" spans="1:12">
      <c r="A61" s="1745">
        <f t="shared" si="1"/>
        <v>453</v>
      </c>
      <c r="B61" s="1746"/>
      <c r="C61" s="1747">
        <f>'Timing-Leasing-TC Delivery'!O39</f>
        <v>0</v>
      </c>
      <c r="D61" s="1619">
        <f>'Timing-Leasing-TC Delivery'!G39</f>
        <v>0</v>
      </c>
      <c r="E61" s="1747" t="e">
        <f>'Timing-Leasing-TC Delivery'!AA39</f>
        <v>#DIV/0!</v>
      </c>
      <c r="F61" s="1619"/>
      <c r="G61" s="555" t="e">
        <f t="shared" si="2"/>
        <v>#DIV/0!</v>
      </c>
      <c r="I61" s="15"/>
    </row>
    <row r="62" spans="1:12">
      <c r="A62" s="1745">
        <f t="shared" si="1"/>
        <v>484</v>
      </c>
      <c r="B62" s="1746"/>
      <c r="C62" s="1747">
        <f>'Timing-Leasing-TC Delivery'!O40</f>
        <v>0</v>
      </c>
      <c r="D62" s="1619">
        <f>'Timing-Leasing-TC Delivery'!G40</f>
        <v>0</v>
      </c>
      <c r="E62" s="1747" t="e">
        <f>'Timing-Leasing-TC Delivery'!AA40</f>
        <v>#DIV/0!</v>
      </c>
      <c r="F62" s="1619"/>
      <c r="G62" s="555" t="e">
        <f t="shared" si="2"/>
        <v>#DIV/0!</v>
      </c>
      <c r="I62" s="15"/>
    </row>
    <row r="63" spans="1:12">
      <c r="A63" s="1745">
        <f t="shared" si="1"/>
        <v>514</v>
      </c>
      <c r="B63" s="1746"/>
      <c r="C63" s="1747">
        <f>'Timing-Leasing-TC Delivery'!O41</f>
        <v>0</v>
      </c>
      <c r="D63" s="1619">
        <f>'Timing-Leasing-TC Delivery'!G41</f>
        <v>0</v>
      </c>
      <c r="E63" s="1747" t="e">
        <f>'Timing-Leasing-TC Delivery'!AA41</f>
        <v>#DIV/0!</v>
      </c>
      <c r="F63" s="1619"/>
      <c r="G63" s="555" t="e">
        <f t="shared" si="2"/>
        <v>#DIV/0!</v>
      </c>
    </row>
    <row r="64" spans="1:12">
      <c r="A64" s="1745">
        <f t="shared" si="1"/>
        <v>545</v>
      </c>
      <c r="B64" s="1746"/>
      <c r="C64" s="1747">
        <f>'Timing-Leasing-TC Delivery'!O42</f>
        <v>0</v>
      </c>
      <c r="D64" s="1619">
        <f>'Timing-Leasing-TC Delivery'!G42</f>
        <v>0</v>
      </c>
      <c r="E64" s="1747" t="e">
        <f>'Timing-Leasing-TC Delivery'!AA42</f>
        <v>#DIV/0!</v>
      </c>
      <c r="F64" s="1619"/>
      <c r="G64" s="555" t="e">
        <f t="shared" si="2"/>
        <v>#DIV/0!</v>
      </c>
      <c r="I64"/>
      <c r="J64"/>
      <c r="K64"/>
      <c r="L64"/>
    </row>
    <row r="65" spans="1:12">
      <c r="A65" s="1745">
        <f t="shared" si="1"/>
        <v>575</v>
      </c>
      <c r="B65" s="1746"/>
      <c r="C65" s="1747">
        <f>'Timing-Leasing-TC Delivery'!O43</f>
        <v>0</v>
      </c>
      <c r="D65" s="1619">
        <f>'Timing-Leasing-TC Delivery'!G43</f>
        <v>0</v>
      </c>
      <c r="E65" s="1747" t="e">
        <f>'Timing-Leasing-TC Delivery'!AA43</f>
        <v>#DIV/0!</v>
      </c>
      <c r="F65" s="1619"/>
      <c r="G65" s="555" t="e">
        <f t="shared" si="2"/>
        <v>#DIV/0!</v>
      </c>
      <c r="I65"/>
      <c r="J65"/>
      <c r="K65"/>
      <c r="L65"/>
    </row>
    <row r="66" spans="1:12">
      <c r="A66" s="1745">
        <f t="shared" si="1"/>
        <v>606</v>
      </c>
      <c r="B66" s="1746"/>
      <c r="C66" s="1747">
        <f>'Timing-Leasing-TC Delivery'!O44</f>
        <v>0</v>
      </c>
      <c r="D66" s="1619">
        <f>'Timing-Leasing-TC Delivery'!G44</f>
        <v>0</v>
      </c>
      <c r="E66" s="1747" t="e">
        <f>'Timing-Leasing-TC Delivery'!AA44</f>
        <v>#DIV/0!</v>
      </c>
      <c r="F66" s="1619"/>
      <c r="G66" s="555" t="e">
        <f t="shared" si="2"/>
        <v>#DIV/0!</v>
      </c>
      <c r="I66"/>
      <c r="J66"/>
      <c r="K66"/>
      <c r="L66"/>
    </row>
    <row r="67" spans="1:12">
      <c r="A67" s="1745">
        <f t="shared" si="1"/>
        <v>637</v>
      </c>
      <c r="B67" s="1746"/>
      <c r="C67" s="1747">
        <f>'Timing-Leasing-TC Delivery'!O45</f>
        <v>0</v>
      </c>
      <c r="D67" s="1619">
        <f>'Timing-Leasing-TC Delivery'!G45</f>
        <v>0</v>
      </c>
      <c r="E67" s="1747" t="e">
        <f>'Timing-Leasing-TC Delivery'!AA45</f>
        <v>#DIV/0!</v>
      </c>
      <c r="F67" s="1619"/>
      <c r="G67" s="555" t="e">
        <f t="shared" si="2"/>
        <v>#DIV/0!</v>
      </c>
      <c r="I67"/>
      <c r="J67"/>
      <c r="K67"/>
      <c r="L67"/>
    </row>
    <row r="68" spans="1:12">
      <c r="A68" s="1745">
        <f t="shared" si="1"/>
        <v>667</v>
      </c>
      <c r="B68" s="1746"/>
      <c r="C68" s="1747">
        <f>'Timing-Leasing-TC Delivery'!O46</f>
        <v>0</v>
      </c>
      <c r="D68" s="1619">
        <f>'Timing-Leasing-TC Delivery'!G46</f>
        <v>0</v>
      </c>
      <c r="E68" s="1747" t="e">
        <f>'Timing-Leasing-TC Delivery'!AA46</f>
        <v>#DIV/0!</v>
      </c>
      <c r="F68" s="1619"/>
      <c r="G68" s="555" t="e">
        <f t="shared" si="2"/>
        <v>#DIV/0!</v>
      </c>
      <c r="I68"/>
      <c r="J68"/>
      <c r="K68"/>
      <c r="L68"/>
    </row>
    <row r="69" spans="1:12">
      <c r="A69" s="1745">
        <f t="shared" si="1"/>
        <v>698</v>
      </c>
      <c r="B69" s="1746"/>
      <c r="C69" s="1747">
        <f>'Timing-Leasing-TC Delivery'!O47</f>
        <v>0</v>
      </c>
      <c r="D69" s="1619">
        <f>'Timing-Leasing-TC Delivery'!G47</f>
        <v>0</v>
      </c>
      <c r="E69" s="1747" t="e">
        <f>'Timing-Leasing-TC Delivery'!AA47</f>
        <v>#DIV/0!</v>
      </c>
      <c r="F69" s="1619"/>
      <c r="G69" s="555" t="e">
        <f t="shared" si="2"/>
        <v>#DIV/0!</v>
      </c>
      <c r="I69"/>
      <c r="J69"/>
      <c r="K69"/>
      <c r="L69"/>
    </row>
    <row r="70" spans="1:12">
      <c r="A70" s="1745">
        <f t="shared" si="1"/>
        <v>728</v>
      </c>
      <c r="B70" s="1746"/>
      <c r="C70" s="1747">
        <f>'Timing-Leasing-TC Delivery'!O57</f>
        <v>0</v>
      </c>
      <c r="D70" s="1619"/>
      <c r="E70" s="1747" t="e">
        <f>'Timing-Leasing-TC Delivery'!AA57</f>
        <v>#DIV/0!</v>
      </c>
      <c r="F70" s="1619"/>
      <c r="G70" s="555" t="e">
        <f t="shared" si="2"/>
        <v>#DIV/0!</v>
      </c>
      <c r="I70"/>
      <c r="J70"/>
      <c r="K70"/>
      <c r="L70"/>
    </row>
    <row r="71" spans="1:12">
      <c r="A71" s="1745">
        <f t="shared" si="1"/>
        <v>759</v>
      </c>
      <c r="B71" s="1746"/>
      <c r="C71" s="1747">
        <f>'Timing-Leasing-TC Delivery'!O58</f>
        <v>0</v>
      </c>
      <c r="D71" s="1619"/>
      <c r="E71" s="1747" t="e">
        <f>'Timing-Leasing-TC Delivery'!AA58</f>
        <v>#DIV/0!</v>
      </c>
      <c r="F71" s="1619"/>
      <c r="G71" s="555" t="e">
        <f t="shared" si="2"/>
        <v>#DIV/0!</v>
      </c>
      <c r="I71"/>
      <c r="J71"/>
      <c r="K71"/>
      <c r="L71"/>
    </row>
    <row r="72" spans="1:12">
      <c r="A72" s="1745">
        <f t="shared" si="1"/>
        <v>790</v>
      </c>
      <c r="B72" s="1746"/>
      <c r="C72" s="1747">
        <f>'Timing-Leasing-TC Delivery'!O59</f>
        <v>0</v>
      </c>
      <c r="D72" s="1619"/>
      <c r="E72" s="1747" t="e">
        <f>'Timing-Leasing-TC Delivery'!AA59</f>
        <v>#DIV/0!</v>
      </c>
      <c r="F72" s="1619"/>
      <c r="G72" s="555" t="e">
        <f t="shared" si="2"/>
        <v>#DIV/0!</v>
      </c>
      <c r="I72"/>
      <c r="J72"/>
      <c r="K72"/>
      <c r="L72"/>
    </row>
    <row r="73" spans="1:12">
      <c r="A73" s="1745">
        <f t="shared" si="1"/>
        <v>818</v>
      </c>
      <c r="B73" s="1746"/>
      <c r="C73" s="1747">
        <f>'Timing-Leasing-TC Delivery'!O60</f>
        <v>0</v>
      </c>
      <c r="D73" s="1619"/>
      <c r="E73" s="1747" t="e">
        <f>'Timing-Leasing-TC Delivery'!AA60</f>
        <v>#DIV/0!</v>
      </c>
      <c r="F73" s="1619"/>
      <c r="G73" s="555" t="e">
        <f t="shared" si="2"/>
        <v>#DIV/0!</v>
      </c>
      <c r="I73"/>
      <c r="J73"/>
      <c r="K73"/>
      <c r="L73"/>
    </row>
    <row r="74" spans="1:12" ht="16.5" thickBot="1">
      <c r="A74" s="1748">
        <f t="shared" si="1"/>
        <v>849</v>
      </c>
      <c r="B74" s="1749"/>
      <c r="C74" s="1750">
        <f>'Timing-Leasing-TC Delivery'!O61</f>
        <v>0</v>
      </c>
      <c r="D74" s="1608"/>
      <c r="E74" s="1750" t="e">
        <f>'Timing-Leasing-TC Delivery'!AA61</f>
        <v>#DIV/0!</v>
      </c>
      <c r="F74" s="1608"/>
      <c r="G74" s="556" t="e">
        <f t="shared" si="2"/>
        <v>#DIV/0!</v>
      </c>
      <c r="I74"/>
      <c r="J74"/>
      <c r="K74"/>
      <c r="L74"/>
    </row>
    <row r="75" spans="1:12">
      <c r="A75" s="24"/>
      <c r="C75" s="1669"/>
      <c r="D75" s="1669"/>
      <c r="E75" s="1669"/>
      <c r="F75" s="1669"/>
      <c r="G75" s="693"/>
      <c r="I75"/>
      <c r="J75"/>
      <c r="K75"/>
      <c r="L75"/>
    </row>
    <row r="76" spans="1:12">
      <c r="I76"/>
      <c r="J76"/>
      <c r="K76"/>
      <c r="L76"/>
    </row>
    <row r="77" spans="1:12">
      <c r="I77"/>
      <c r="J77"/>
      <c r="K77"/>
      <c r="L77"/>
    </row>
    <row r="78" spans="1:12">
      <c r="I78"/>
      <c r="J78"/>
      <c r="K78" s="293"/>
      <c r="L78"/>
    </row>
    <row r="79" spans="1:12">
      <c r="I79"/>
      <c r="J79"/>
      <c r="K79" s="293"/>
      <c r="L79"/>
    </row>
    <row r="80" spans="1:12">
      <c r="I80"/>
      <c r="J80"/>
      <c r="K80"/>
      <c r="L80"/>
    </row>
    <row r="81" spans="9:12">
      <c r="I81"/>
      <c r="J81"/>
      <c r="K81"/>
      <c r="L81"/>
    </row>
    <row r="82" spans="9:12">
      <c r="I82"/>
      <c r="J82"/>
      <c r="K82"/>
      <c r="L82"/>
    </row>
    <row r="83" spans="9:12">
      <c r="I83"/>
      <c r="J83"/>
      <c r="K83"/>
      <c r="L83"/>
    </row>
    <row r="84" spans="9:12">
      <c r="I84"/>
      <c r="J84"/>
      <c r="K84"/>
      <c r="L84"/>
    </row>
    <row r="85" spans="9:12">
      <c r="I85"/>
      <c r="J85"/>
      <c r="K85"/>
      <c r="L85"/>
    </row>
    <row r="86" spans="9:12">
      <c r="I86"/>
      <c r="J86"/>
      <c r="K86"/>
      <c r="L86"/>
    </row>
    <row r="87" spans="9:12">
      <c r="I87"/>
      <c r="J87"/>
      <c r="K87"/>
      <c r="L87"/>
    </row>
  </sheetData>
  <mergeCells count="99">
    <mergeCell ref="E73:F73"/>
    <mergeCell ref="E74:F74"/>
    <mergeCell ref="C75:D75"/>
    <mergeCell ref="E75:F75"/>
    <mergeCell ref="E68:F68"/>
    <mergeCell ref="E69:F69"/>
    <mergeCell ref="E70:F70"/>
    <mergeCell ref="E71:F71"/>
    <mergeCell ref="E72:F72"/>
    <mergeCell ref="C70:D70"/>
    <mergeCell ref="C71:D71"/>
    <mergeCell ref="C72:D72"/>
    <mergeCell ref="C73:D73"/>
    <mergeCell ref="C74:D74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  <mergeCell ref="E57:F57"/>
    <mergeCell ref="E48:F48"/>
    <mergeCell ref="E49:F49"/>
    <mergeCell ref="E50:F50"/>
    <mergeCell ref="E51:F51"/>
    <mergeCell ref="E52:F52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A73:B73"/>
    <mergeCell ref="A74:B74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6:B46"/>
    <mergeCell ref="A43:G43"/>
    <mergeCell ref="A47:B47"/>
    <mergeCell ref="E46:F46"/>
    <mergeCell ref="E47:F47"/>
    <mergeCell ref="U1:Y5"/>
    <mergeCell ref="K44:K45"/>
    <mergeCell ref="I43:K43"/>
    <mergeCell ref="A45:B45"/>
    <mergeCell ref="C45:D45"/>
    <mergeCell ref="E45:F45"/>
    <mergeCell ref="I44:I45"/>
    <mergeCell ref="A1:K1"/>
    <mergeCell ref="A2:K2"/>
  </mergeCells>
  <dataValidations count="3">
    <dataValidation type="list" allowBlank="1" showInputMessage="1" showErrorMessage="1" sqref="F6" xr:uid="{B9D40C77-F218-48B2-BD26-CDE20085110E}">
      <formula1>"0%,30%"</formula1>
    </dataValidation>
    <dataValidation type="list" allowBlank="1" showInputMessage="1" showErrorMessage="1" sqref="K12 I12" xr:uid="{55A81CCD-59C1-41E9-913A-0A33AAD9CB23}">
      <formula1>"4%, 9%"</formula1>
    </dataValidation>
    <dataValidation type="list" allowBlank="1" showInputMessage="1" showErrorMessage="1" sqref="M8 M11 M23 M31:M32" xr:uid="{86751E6E-0A16-457E-9A56-7254C26EFFC6}">
      <formula1>"Yes, No"</formula1>
    </dataValidation>
  </dataValidations>
  <hyperlinks>
    <hyperlink ref="U6" r:id="rId1" xr:uid="{CB62C33F-E922-4BF1-B7F4-A35D25213B8A}"/>
  </hyperlinks>
  <printOptions horizontalCentered="1"/>
  <pageMargins left="1" right="1" top="1" bottom="1" header="0.5" footer="0.5"/>
  <pageSetup scale="51" orientation="portrait" r:id="rId2"/>
  <headerFooter scaleWithDoc="0">
    <oddHeader xml:space="preserve">&amp;R&amp;"Times New Roman,Regular"&amp;7
</oddHeader>
    <oddFooter>&amp;LPRIVELEGED AND CONFIDENTIAL&amp;R&amp;G</oddFooter>
    <firstHeader>&amp;CEXECUTIVE SUMMARY</firstHeader>
  </headerFooter>
  <drawing r:id="rId3"/>
  <legacyDrawing r:id="rId4"/>
  <legacyDrawingHF r:id="rId5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FD41-B294-4078-A7DD-2B7DB65BE432}">
  <sheetPr>
    <tabColor rgb="FF38B6A1"/>
    <pageSetUpPr fitToPage="1"/>
  </sheetPr>
  <dimension ref="A1:AQ192"/>
  <sheetViews>
    <sheetView zoomScale="80" zoomScaleNormal="80" zoomScaleSheetLayoutView="85" workbookViewId="0">
      <pane xSplit="3" ySplit="9" topLeftCell="D142" activePane="bottomRight" state="frozen"/>
      <selection pane="topRight" activeCell="D1" sqref="D1"/>
      <selection pane="bottomLeft" activeCell="A10" sqref="A10"/>
      <selection pane="bottomRight" activeCell="D119" sqref="D119"/>
    </sheetView>
  </sheetViews>
  <sheetFormatPr defaultColWidth="9.140625" defaultRowHeight="12.75"/>
  <cols>
    <col min="1" max="1" width="9.5703125" style="297" customWidth="1"/>
    <col min="2" max="2" width="38.5703125" style="297" bestFit="1" customWidth="1"/>
    <col min="3" max="3" width="13.85546875" style="297" bestFit="1" customWidth="1"/>
    <col min="4" max="4" width="13.42578125" style="297" bestFit="1" customWidth="1"/>
    <col min="5" max="9" width="11.5703125" style="297" bestFit="1" customWidth="1"/>
    <col min="10" max="15" width="12.85546875" style="297" bestFit="1" customWidth="1"/>
    <col min="16" max="18" width="12.85546875" style="297" customWidth="1"/>
    <col min="19" max="22" width="13.140625" style="297" customWidth="1"/>
    <col min="23" max="23" width="13.42578125" style="297" bestFit="1" customWidth="1"/>
    <col min="24" max="24" width="13.42578125" style="331" bestFit="1" customWidth="1"/>
    <col min="25" max="25" width="13.140625" style="297" bestFit="1" customWidth="1"/>
    <col min="26" max="26" width="2.85546875" style="297" customWidth="1"/>
    <col min="27" max="27" width="13.85546875" style="297" bestFit="1" customWidth="1"/>
    <col min="28" max="28" width="15.5703125" style="332" bestFit="1" customWidth="1"/>
    <col min="29" max="29" width="7.42578125" style="297" customWidth="1"/>
    <col min="30" max="30" width="13.42578125" style="297" customWidth="1"/>
    <col min="31" max="31" width="18.85546875" style="297" customWidth="1"/>
    <col min="32" max="32" width="14.140625" style="450" customWidth="1"/>
    <col min="33" max="33" width="15.42578125" style="449" customWidth="1"/>
    <col min="34" max="34" width="12.85546875" style="449" bestFit="1" customWidth="1"/>
    <col min="35" max="36" width="12.85546875" style="449" customWidth="1"/>
    <col min="37" max="38" width="12.85546875" style="297" customWidth="1"/>
    <col min="39" max="16384" width="9.140625" style="297"/>
  </cols>
  <sheetData>
    <row r="1" spans="1:43" ht="18.75">
      <c r="A1" s="361"/>
      <c r="B1" s="1754" t="str">
        <f>UPPER('Input Page'!$F$32)</f>
        <v/>
      </c>
      <c r="C1" s="1754"/>
      <c r="D1" s="1754"/>
      <c r="E1" s="1754"/>
      <c r="F1" s="1754"/>
      <c r="G1" s="1754"/>
      <c r="H1" s="1754"/>
      <c r="I1" s="1754"/>
      <c r="J1" s="1754"/>
      <c r="K1" s="1754"/>
      <c r="L1" s="1754"/>
      <c r="M1" s="1754"/>
      <c r="N1" s="1754"/>
      <c r="O1" s="1754"/>
      <c r="P1" s="1754"/>
      <c r="Q1" s="1754"/>
      <c r="R1" s="1754"/>
      <c r="S1" s="1754"/>
      <c r="T1" s="1754"/>
      <c r="U1" s="1754"/>
      <c r="V1" s="1754"/>
      <c r="W1" s="1754"/>
      <c r="X1" s="1754"/>
      <c r="Y1" s="1754"/>
      <c r="Z1" s="1754"/>
      <c r="AA1" s="1754"/>
      <c r="AB1" s="470" t="s">
        <v>907</v>
      </c>
      <c r="AC1" s="362"/>
      <c r="AF1" s="448"/>
    </row>
    <row r="2" spans="1:43" ht="18.75">
      <c r="A2" s="398"/>
      <c r="B2" s="1754" t="s">
        <v>908</v>
      </c>
      <c r="C2" s="1754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P2" s="1754"/>
      <c r="Q2" s="1754"/>
      <c r="R2" s="1754"/>
      <c r="S2" s="1754"/>
      <c r="T2" s="1754"/>
      <c r="U2" s="1754"/>
      <c r="V2" s="1754"/>
      <c r="W2" s="1754"/>
      <c r="X2" s="1754"/>
      <c r="Y2" s="1754"/>
      <c r="Z2" s="1754"/>
      <c r="AA2" s="1754"/>
      <c r="AB2" s="398"/>
      <c r="AC2" s="398"/>
      <c r="AF2" s="448"/>
    </row>
    <row r="3" spans="1:43" ht="20.25">
      <c r="A3" s="399"/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F3" s="448"/>
    </row>
    <row r="4" spans="1:43" ht="16.5" thickBot="1">
      <c r="A4" s="398"/>
      <c r="B4" s="467"/>
      <c r="C4" s="467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467"/>
      <c r="V4" s="467"/>
      <c r="W4" s="696"/>
      <c r="X4" s="697"/>
      <c r="Y4" s="696"/>
      <c r="Z4" s="696"/>
      <c r="AA4" s="467"/>
      <c r="AB4" s="343"/>
    </row>
    <row r="5" spans="1:43" ht="15.75">
      <c r="A5" s="298"/>
      <c r="B5" s="298"/>
      <c r="C5" s="301"/>
      <c r="D5" s="301"/>
      <c r="E5" s="1755" t="s">
        <v>909</v>
      </c>
      <c r="F5" s="1755"/>
      <c r="G5" s="1755"/>
      <c r="H5" s="1755"/>
      <c r="I5" s="1755"/>
      <c r="J5" s="1755"/>
      <c r="K5" s="1755"/>
      <c r="L5" s="1755"/>
      <c r="M5" s="1755"/>
      <c r="N5" s="1755"/>
      <c r="O5" s="1755"/>
      <c r="P5" s="1755"/>
      <c r="Q5" s="1755"/>
      <c r="R5" s="1755"/>
      <c r="S5" s="1755"/>
      <c r="T5" s="1755"/>
      <c r="U5" s="1755"/>
      <c r="V5" s="1755"/>
      <c r="W5" s="341"/>
      <c r="X5" s="342"/>
      <c r="Y5" s="342"/>
      <c r="Z5" s="342"/>
      <c r="AA5" s="298"/>
      <c r="AB5" s="343"/>
    </row>
    <row r="6" spans="1:43" ht="15.75">
      <c r="A6" s="298"/>
      <c r="B6" s="298"/>
      <c r="C6" s="301"/>
      <c r="D6" s="599">
        <f>'Timing-Leasing-TC Delivery'!H6-31</f>
        <v>-31</v>
      </c>
      <c r="E6" s="365" t="e">
        <f>EDATE(D6,1)</f>
        <v>#NUM!</v>
      </c>
      <c r="F6" s="365" t="str">
        <f>IF(F9&gt;'Timing-Leasing-TC Delivery'!$H$8,"",EDATE(E6,1))</f>
        <v/>
      </c>
      <c r="G6" s="365" t="str">
        <f>IF(G9&gt;'Timing-Leasing-TC Delivery'!$H$8,"",EDATE(F6,1))</f>
        <v/>
      </c>
      <c r="H6" s="365" t="str">
        <f>IF(H9&gt;'Timing-Leasing-TC Delivery'!$H$8,"",EDATE(G6,1))</f>
        <v/>
      </c>
      <c r="I6" s="365" t="str">
        <f>IF(I9&gt;'Timing-Leasing-TC Delivery'!$H$8,"",EDATE(H6,1))</f>
        <v/>
      </c>
      <c r="J6" s="365" t="str">
        <f>IF(J9&gt;'Timing-Leasing-TC Delivery'!$H$8,"",EDATE(I6,1))</f>
        <v/>
      </c>
      <c r="K6" s="365" t="str">
        <f>IF(K9&gt;'Timing-Leasing-TC Delivery'!$H$8,"",EDATE(J6,1))</f>
        <v/>
      </c>
      <c r="L6" s="365" t="str">
        <f>IF(L9&gt;'Timing-Leasing-TC Delivery'!$H$8,"",EDATE(K6,1))</f>
        <v/>
      </c>
      <c r="M6" s="365" t="str">
        <f>IF(M9&gt;'Timing-Leasing-TC Delivery'!$H$8,"",EDATE(L6,1))</f>
        <v/>
      </c>
      <c r="N6" s="365" t="str">
        <f>IF(N9&gt;'Timing-Leasing-TC Delivery'!$H$8,"",EDATE(M6,1))</f>
        <v/>
      </c>
      <c r="O6" s="365" t="str">
        <f>IF(O9&gt;'Timing-Leasing-TC Delivery'!$H$8,"",EDATE(N6,1))</f>
        <v/>
      </c>
      <c r="P6" s="365" t="str">
        <f>IF(P9&gt;'Timing-Leasing-TC Delivery'!$H$8,"",EDATE(O6,1))</f>
        <v/>
      </c>
      <c r="Q6" s="365" t="str">
        <f>IF(Q9&gt;'Timing-Leasing-TC Delivery'!$H$8,"",EDATE(P6,1))</f>
        <v/>
      </c>
      <c r="R6" s="365" t="str">
        <f>IF(R9&gt;'Timing-Leasing-TC Delivery'!$H$8,"",EDATE(Q6,1))</f>
        <v/>
      </c>
      <c r="S6" s="365" t="str">
        <f>IF(S9&gt;'Timing-Leasing-TC Delivery'!$H$8,"",EDATE(R6,1))</f>
        <v/>
      </c>
      <c r="T6" s="365" t="str">
        <f>IF(T9&gt;'Timing-Leasing-TC Delivery'!$H$8,"",EDATE(S6,1))</f>
        <v/>
      </c>
      <c r="U6" s="365" t="str">
        <f>IF(U9&gt;'Timing-Leasing-TC Delivery'!$H$8,"",EDATE(T6,1))</f>
        <v/>
      </c>
      <c r="V6" s="365" t="str">
        <f>IF(V9&gt;'Timing-Leasing-TC Delivery'!$H$8,"",EDATE(U6,1))</f>
        <v/>
      </c>
      <c r="W6" s="365">
        <f>'Timing-Leasing-TC Delivery'!H7+30</f>
        <v>30</v>
      </c>
      <c r="X6" s="365" t="e">
        <f>IF(VLOOKUP(4,'Timing-Leasing-TC Delivery'!AF14:AG89,2)+30&lt;W6,W6+30,VLOOKUP(4,'Timing-Leasing-TC Delivery'!AF14:AG89,2)+30)</f>
        <v>#N/A</v>
      </c>
      <c r="Y6" s="365" t="e">
        <f>+X6+91</f>
        <v>#N/A</v>
      </c>
      <c r="Z6" s="365"/>
      <c r="AA6" s="298"/>
      <c r="AB6" s="343"/>
      <c r="AD6" s="799"/>
    </row>
    <row r="7" spans="1:43" ht="15.75">
      <c r="A7" s="298"/>
      <c r="B7" s="298"/>
      <c r="C7" s="301"/>
      <c r="D7" s="344" t="s">
        <v>910</v>
      </c>
      <c r="E7" s="345">
        <v>0.04</v>
      </c>
      <c r="F7" s="345">
        <v>0.05</v>
      </c>
      <c r="G7" s="345">
        <v>7.0000000000000007E-2</v>
      </c>
      <c r="H7" s="345">
        <v>0.09</v>
      </c>
      <c r="I7" s="345">
        <v>0.11</v>
      </c>
      <c r="J7" s="345">
        <v>0.12</v>
      </c>
      <c r="K7" s="345">
        <v>0.13</v>
      </c>
      <c r="L7" s="345">
        <v>0.12</v>
      </c>
      <c r="M7" s="345">
        <v>0.1</v>
      </c>
      <c r="N7" s="345">
        <v>0.09</v>
      </c>
      <c r="O7" s="345">
        <v>0.08</v>
      </c>
      <c r="P7" s="345"/>
      <c r="Q7" s="345"/>
      <c r="R7" s="345"/>
      <c r="S7" s="345"/>
      <c r="T7" s="345"/>
      <c r="U7" s="345"/>
      <c r="V7" s="345"/>
      <c r="W7" s="1171"/>
      <c r="X7" s="1171"/>
      <c r="Y7" s="1171"/>
      <c r="Z7" s="346"/>
      <c r="AA7" s="298"/>
      <c r="AB7" s="343"/>
      <c r="AD7" s="799"/>
    </row>
    <row r="8" spans="1:43" ht="15.75">
      <c r="A8" s="298"/>
      <c r="B8" s="298"/>
      <c r="C8" s="301"/>
      <c r="D8" s="344" t="s">
        <v>911</v>
      </c>
      <c r="E8" s="396">
        <f>E2</f>
        <v>0</v>
      </c>
      <c r="F8" s="397">
        <f>SUM($E$7:F7)</f>
        <v>0.09</v>
      </c>
      <c r="G8" s="397">
        <f>SUM($E$7:G7)</f>
        <v>0.16</v>
      </c>
      <c r="H8" s="397">
        <f>SUM($E$7:H7)</f>
        <v>0.25</v>
      </c>
      <c r="I8" s="397">
        <f>SUM($E$7:I7)</f>
        <v>0.36</v>
      </c>
      <c r="J8" s="397">
        <f>SUM($E$7:J7)</f>
        <v>0.48</v>
      </c>
      <c r="K8" s="397">
        <f>SUM($E$7:K7)</f>
        <v>0.61</v>
      </c>
      <c r="L8" s="397">
        <f>SUM($E$7:L7)</f>
        <v>0.73</v>
      </c>
      <c r="M8" s="397">
        <f>SUM($E$7:M7)</f>
        <v>0.83</v>
      </c>
      <c r="N8" s="397">
        <f>SUM($E$7:N7)</f>
        <v>0.91999999999999993</v>
      </c>
      <c r="O8" s="397">
        <f>SUM($E$7:O7)</f>
        <v>0.99999999999999989</v>
      </c>
      <c r="P8" s="397">
        <f>SUM($E$7:P7)</f>
        <v>0.99999999999999989</v>
      </c>
      <c r="Q8" s="397">
        <f>SUM($E$7:Q7)</f>
        <v>0.99999999999999989</v>
      </c>
      <c r="R8" s="397">
        <f>SUM($E$7:R7)</f>
        <v>0.99999999999999989</v>
      </c>
      <c r="S8" s="397">
        <f>SUM($E$7:S7)</f>
        <v>0.99999999999999989</v>
      </c>
      <c r="T8" s="397">
        <f>SUM($E$7:T7)</f>
        <v>0.99999999999999989</v>
      </c>
      <c r="U8" s="397">
        <f>SUM($E$7:U7)</f>
        <v>0.99999999999999989</v>
      </c>
      <c r="V8" s="397">
        <f>SUM($E$7:V7)</f>
        <v>0.99999999999999989</v>
      </c>
      <c r="W8" s="346"/>
      <c r="X8" s="347"/>
      <c r="Y8" s="346"/>
      <c r="Z8" s="346"/>
      <c r="AA8" s="298"/>
      <c r="AB8" s="343"/>
      <c r="AD8" s="799"/>
    </row>
    <row r="9" spans="1:43" s="303" customFormat="1" ht="16.5" thickBot="1">
      <c r="A9" s="357"/>
      <c r="B9" s="348"/>
      <c r="C9" s="349"/>
      <c r="D9" s="350" t="s">
        <v>912</v>
      </c>
      <c r="E9" s="395">
        <v>1</v>
      </c>
      <c r="F9" s="395">
        <f>E9+1</f>
        <v>2</v>
      </c>
      <c r="G9" s="395">
        <f t="shared" ref="G9:O9" si="0">F9+1</f>
        <v>3</v>
      </c>
      <c r="H9" s="395">
        <f t="shared" si="0"/>
        <v>4</v>
      </c>
      <c r="I9" s="395">
        <f t="shared" si="0"/>
        <v>5</v>
      </c>
      <c r="J9" s="395">
        <f t="shared" si="0"/>
        <v>6</v>
      </c>
      <c r="K9" s="395">
        <f t="shared" si="0"/>
        <v>7</v>
      </c>
      <c r="L9" s="395">
        <f t="shared" si="0"/>
        <v>8</v>
      </c>
      <c r="M9" s="395">
        <f t="shared" si="0"/>
        <v>9</v>
      </c>
      <c r="N9" s="395">
        <f t="shared" si="0"/>
        <v>10</v>
      </c>
      <c r="O9" s="395">
        <f t="shared" si="0"/>
        <v>11</v>
      </c>
      <c r="P9" s="395">
        <f t="shared" ref="P9:S9" si="1">O9+1</f>
        <v>12</v>
      </c>
      <c r="Q9" s="395">
        <f t="shared" si="1"/>
        <v>13</v>
      </c>
      <c r="R9" s="395">
        <f t="shared" si="1"/>
        <v>14</v>
      </c>
      <c r="S9" s="395">
        <f t="shared" si="1"/>
        <v>15</v>
      </c>
      <c r="T9" s="395">
        <f t="shared" ref="T9:U9" si="2">S9+1</f>
        <v>16</v>
      </c>
      <c r="U9" s="395">
        <f t="shared" si="2"/>
        <v>17</v>
      </c>
      <c r="V9" s="395">
        <f t="shared" ref="V9" si="3">U9+1</f>
        <v>18</v>
      </c>
      <c r="W9" s="351"/>
      <c r="X9" s="352"/>
      <c r="Y9" s="351"/>
      <c r="Z9" s="351"/>
      <c r="AA9" s="348"/>
      <c r="AB9" s="359"/>
      <c r="AE9" s="304"/>
      <c r="AF9" s="451"/>
      <c r="AG9" s="452"/>
      <c r="AH9" s="452"/>
      <c r="AI9" s="452"/>
      <c r="AJ9" s="452"/>
    </row>
    <row r="10" spans="1:43" s="303" customFormat="1" ht="15.75">
      <c r="A10" s="357"/>
      <c r="B10" s="357"/>
      <c r="C10" s="358"/>
      <c r="D10" s="1416" t="s">
        <v>913</v>
      </c>
      <c r="E10" s="36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46"/>
      <c r="W10" s="367" t="s">
        <v>914</v>
      </c>
      <c r="X10" s="367" t="s">
        <v>915</v>
      </c>
      <c r="Y10" s="367" t="s">
        <v>916</v>
      </c>
      <c r="Z10" s="367"/>
      <c r="AA10" s="298"/>
      <c r="AB10" s="359"/>
      <c r="AD10" s="361" t="s">
        <v>917</v>
      </c>
      <c r="AE10" s="459"/>
      <c r="AF10" s="460"/>
      <c r="AG10" s="461"/>
      <c r="AH10" s="461"/>
      <c r="AI10" s="461"/>
      <c r="AJ10" s="461"/>
      <c r="AK10" s="462"/>
      <c r="AL10" s="463"/>
    </row>
    <row r="11" spans="1:43" s="303" customFormat="1" ht="15.75">
      <c r="A11" s="357"/>
      <c r="B11" s="357"/>
      <c r="C11" s="358"/>
      <c r="D11" s="1416" t="s">
        <v>918</v>
      </c>
      <c r="E11" s="36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6"/>
      <c r="S11" s="346"/>
      <c r="T11" s="346"/>
      <c r="U11" s="346"/>
      <c r="V11" s="346"/>
      <c r="W11" s="367" t="s">
        <v>919</v>
      </c>
      <c r="X11" s="367" t="s">
        <v>920</v>
      </c>
      <c r="Y11" s="368">
        <v>8609</v>
      </c>
      <c r="Z11" s="368"/>
      <c r="AA11" s="298"/>
      <c r="AB11" s="359"/>
      <c r="AD11" s="300"/>
      <c r="AE11" s="298"/>
      <c r="AF11" s="453"/>
      <c r="AG11" s="453"/>
      <c r="AH11" s="453"/>
      <c r="AI11" s="453"/>
      <c r="AJ11" s="453"/>
      <c r="AK11" s="298"/>
      <c r="AL11" s="464"/>
    </row>
    <row r="12" spans="1:43" s="363" customFormat="1" ht="16.5" thickBot="1">
      <c r="A12" s="360"/>
      <c r="B12" s="357"/>
      <c r="C12" s="358"/>
      <c r="D12" s="1416" t="s">
        <v>921</v>
      </c>
      <c r="E12" s="36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67" t="s">
        <v>922</v>
      </c>
      <c r="X12" s="367" t="s">
        <v>923</v>
      </c>
      <c r="Y12" s="367"/>
      <c r="Z12" s="367"/>
      <c r="AA12" s="298"/>
      <c r="AB12" s="359"/>
      <c r="AD12" s="300" t="s">
        <v>924</v>
      </c>
      <c r="AE12" s="298"/>
      <c r="AF12" s="703" t="e">
        <f>'Development Costs'!$I$124</f>
        <v>#DIV/0!</v>
      </c>
      <c r="AG12" s="453"/>
      <c r="AH12" s="453"/>
      <c r="AI12" s="453"/>
      <c r="AJ12" s="453"/>
      <c r="AK12" s="298"/>
      <c r="AL12" s="464"/>
    </row>
    <row r="13" spans="1:43" ht="16.5" thickBot="1">
      <c r="A13" s="357"/>
      <c r="B13" s="1751" t="s">
        <v>276</v>
      </c>
      <c r="C13" s="1752"/>
      <c r="D13" s="1752"/>
      <c r="E13" s="1752"/>
      <c r="F13" s="1752"/>
      <c r="G13" s="1752"/>
      <c r="H13" s="1752"/>
      <c r="I13" s="1752"/>
      <c r="J13" s="1752"/>
      <c r="K13" s="1752"/>
      <c r="L13" s="1752"/>
      <c r="M13" s="1752"/>
      <c r="N13" s="1752"/>
      <c r="O13" s="1752"/>
      <c r="P13" s="1752"/>
      <c r="Q13" s="1752"/>
      <c r="R13" s="1752"/>
      <c r="S13" s="1752"/>
      <c r="T13" s="1752"/>
      <c r="U13" s="1752"/>
      <c r="V13" s="1752"/>
      <c r="W13" s="1752"/>
      <c r="X13" s="1752"/>
      <c r="Y13" s="1752"/>
      <c r="Z13" s="1752"/>
      <c r="AA13" s="1753"/>
      <c r="AB13" s="359"/>
      <c r="AC13" s="303"/>
      <c r="AD13" s="300"/>
      <c r="AE13" s="298"/>
      <c r="AF13" s="703"/>
      <c r="AG13" s="453"/>
      <c r="AH13" s="453"/>
      <c r="AI13" s="453"/>
      <c r="AJ13" s="453"/>
      <c r="AK13" s="298"/>
      <c r="AL13" s="464"/>
    </row>
    <row r="14" spans="1:43" ht="16.5" thickBot="1">
      <c r="A14" s="300"/>
      <c r="C14" s="447" t="s">
        <v>925</v>
      </c>
      <c r="D14" s="413">
        <v>0.1</v>
      </c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147">
        <v>0.35</v>
      </c>
      <c r="X14" s="147">
        <v>0.5</v>
      </c>
      <c r="Y14" s="147">
        <v>0.05</v>
      </c>
      <c r="Z14" s="411"/>
      <c r="AA14" s="306"/>
      <c r="AB14" s="307">
        <f>+SUM(D14:AA14)</f>
        <v>1</v>
      </c>
      <c r="AD14" s="300" t="s">
        <v>926</v>
      </c>
      <c r="AE14" s="298"/>
      <c r="AF14" s="703">
        <f>W142+X142+Y142</f>
        <v>0</v>
      </c>
      <c r="AG14" s="453"/>
      <c r="AH14" s="453"/>
      <c r="AI14" s="453"/>
      <c r="AJ14" s="453"/>
      <c r="AK14" s="298"/>
      <c r="AL14" s="464"/>
    </row>
    <row r="15" spans="1:43" ht="16.5" thickBot="1">
      <c r="A15" s="300"/>
      <c r="B15" s="325" t="s">
        <v>276</v>
      </c>
      <c r="C15" s="301"/>
      <c r="D15" s="414"/>
      <c r="E15" s="302"/>
      <c r="F15" s="302"/>
      <c r="G15" s="302"/>
      <c r="H15" s="302"/>
      <c r="I15" s="302"/>
      <c r="J15" s="298"/>
      <c r="K15" s="298"/>
      <c r="L15" s="298"/>
      <c r="M15" s="298"/>
      <c r="N15" s="308"/>
      <c r="O15" s="309"/>
      <c r="P15" s="309"/>
      <c r="Q15" s="309"/>
      <c r="R15" s="309"/>
      <c r="S15" s="302"/>
      <c r="T15" s="302"/>
      <c r="U15" s="302"/>
      <c r="V15" s="302"/>
      <c r="W15" s="302"/>
      <c r="X15" s="310"/>
      <c r="Y15" s="302"/>
      <c r="Z15" s="302"/>
      <c r="AA15" s="439" t="s">
        <v>891</v>
      </c>
      <c r="AB15" s="299"/>
      <c r="AD15" s="300" t="s">
        <v>927</v>
      </c>
      <c r="AE15" s="298"/>
      <c r="AF15" s="703" t="e">
        <f>AA135</f>
        <v>#DIV/0!</v>
      </c>
      <c r="AG15" s="453"/>
      <c r="AH15" s="453"/>
      <c r="AI15" s="453"/>
      <c r="AJ15" s="453"/>
      <c r="AK15" s="298"/>
      <c r="AL15" s="464"/>
      <c r="AM15" s="298"/>
      <c r="AN15" s="298"/>
      <c r="AO15" s="298"/>
      <c r="AP15" s="298"/>
      <c r="AQ15" s="298"/>
    </row>
    <row r="16" spans="1:43" ht="15.75">
      <c r="A16" s="300"/>
      <c r="B16" s="311" t="s">
        <v>928</v>
      </c>
      <c r="C16" s="864" t="e">
        <f>'LIHTC Exec Summary'!$F$30</f>
        <v>#DIV/0!</v>
      </c>
      <c r="D16" s="865"/>
      <c r="E16" s="866"/>
      <c r="F16" s="866"/>
      <c r="G16" s="866"/>
      <c r="H16" s="866"/>
      <c r="I16" s="866"/>
      <c r="J16" s="866"/>
      <c r="K16" s="866"/>
      <c r="L16" s="866"/>
      <c r="M16" s="866"/>
      <c r="N16" s="866"/>
      <c r="O16" s="866"/>
      <c r="P16" s="866"/>
      <c r="Q16" s="866"/>
      <c r="R16" s="866"/>
      <c r="S16" s="866"/>
      <c r="T16" s="866"/>
      <c r="U16" s="866"/>
      <c r="V16" s="866"/>
      <c r="W16" s="866"/>
      <c r="X16" s="813" t="e">
        <f>+C16</f>
        <v>#DIV/0!</v>
      </c>
      <c r="Y16" s="866"/>
      <c r="Z16" s="864"/>
      <c r="AA16" s="867" t="e">
        <f t="shared" ref="AA16:AA26" si="4">SUM(D16:Y16)</f>
        <v>#DIV/0!</v>
      </c>
      <c r="AB16" s="299" t="e">
        <f t="shared" ref="AB16:AB35" si="5">IF(AA16=C16,"ok","alert")</f>
        <v>#DIV/0!</v>
      </c>
      <c r="AD16" s="300" t="s">
        <v>929</v>
      </c>
      <c r="AE16" s="298"/>
      <c r="AF16" s="703">
        <f>AA137</f>
        <v>0</v>
      </c>
      <c r="AG16" s="453"/>
      <c r="AH16" s="453"/>
      <c r="AI16" s="453"/>
      <c r="AJ16" s="453"/>
      <c r="AK16" s="298"/>
      <c r="AL16" s="464"/>
      <c r="AM16" s="298"/>
      <c r="AN16" s="298"/>
      <c r="AO16" s="298"/>
      <c r="AP16" s="298"/>
      <c r="AQ16" s="298"/>
    </row>
    <row r="17" spans="1:43" ht="15.75">
      <c r="A17" s="300"/>
      <c r="B17" s="312" t="str">
        <f>'LIHTC Exec Summary'!$C$31</f>
        <v>Federal LIHTC Equity</v>
      </c>
      <c r="C17" s="868" t="e">
        <f>'LIHTC Exec Summary'!$F$31</f>
        <v>#DIV/0!</v>
      </c>
      <c r="D17" s="869" t="e">
        <f>$C$17*D14</f>
        <v>#DIV/0!</v>
      </c>
      <c r="E17" s="834" t="e">
        <f t="shared" ref="E17:Y17" si="6">$C$17*E14</f>
        <v>#DIV/0!</v>
      </c>
      <c r="F17" s="834" t="e">
        <f t="shared" si="6"/>
        <v>#DIV/0!</v>
      </c>
      <c r="G17" s="834" t="e">
        <f t="shared" si="6"/>
        <v>#DIV/0!</v>
      </c>
      <c r="H17" s="834" t="e">
        <f t="shared" si="6"/>
        <v>#DIV/0!</v>
      </c>
      <c r="I17" s="834" t="e">
        <f t="shared" si="6"/>
        <v>#DIV/0!</v>
      </c>
      <c r="J17" s="834" t="e">
        <f t="shared" si="6"/>
        <v>#DIV/0!</v>
      </c>
      <c r="K17" s="834" t="e">
        <f t="shared" si="6"/>
        <v>#DIV/0!</v>
      </c>
      <c r="L17" s="834" t="e">
        <f t="shared" si="6"/>
        <v>#DIV/0!</v>
      </c>
      <c r="M17" s="834" t="e">
        <f t="shared" si="6"/>
        <v>#DIV/0!</v>
      </c>
      <c r="N17" s="834" t="e">
        <f t="shared" si="6"/>
        <v>#DIV/0!</v>
      </c>
      <c r="O17" s="834" t="e">
        <f t="shared" si="6"/>
        <v>#DIV/0!</v>
      </c>
      <c r="P17" s="834" t="e">
        <f t="shared" si="6"/>
        <v>#DIV/0!</v>
      </c>
      <c r="Q17" s="834" t="e">
        <f t="shared" si="6"/>
        <v>#DIV/0!</v>
      </c>
      <c r="R17" s="834" t="e">
        <f t="shared" si="6"/>
        <v>#DIV/0!</v>
      </c>
      <c r="S17" s="834" t="e">
        <f t="shared" si="6"/>
        <v>#DIV/0!</v>
      </c>
      <c r="T17" s="834" t="e">
        <f t="shared" si="6"/>
        <v>#DIV/0!</v>
      </c>
      <c r="U17" s="834" t="e">
        <f>$C$17*U14</f>
        <v>#DIV/0!</v>
      </c>
      <c r="V17" s="834" t="e">
        <f t="shared" si="6"/>
        <v>#DIV/0!</v>
      </c>
      <c r="W17" s="834" t="e">
        <f t="shared" si="6"/>
        <v>#DIV/0!</v>
      </c>
      <c r="X17" s="834" t="e">
        <f t="shared" si="6"/>
        <v>#DIV/0!</v>
      </c>
      <c r="Y17" s="834" t="e">
        <f t="shared" si="6"/>
        <v>#DIV/0!</v>
      </c>
      <c r="Z17" s="868"/>
      <c r="AA17" s="870" t="e">
        <f t="shared" si="4"/>
        <v>#DIV/0!</v>
      </c>
      <c r="AB17" s="299" t="e">
        <f t="shared" si="5"/>
        <v>#DIV/0!</v>
      </c>
      <c r="AD17" s="300" t="s">
        <v>930</v>
      </c>
      <c r="AE17" s="298"/>
      <c r="AF17" s="704" t="e">
        <f>SUM(X91:X102)</f>
        <v>#DIV/0!</v>
      </c>
      <c r="AG17" s="453"/>
      <c r="AH17" s="453"/>
      <c r="AI17" s="453"/>
      <c r="AJ17" s="453"/>
      <c r="AK17" s="298"/>
      <c r="AL17" s="464"/>
      <c r="AM17" s="298"/>
      <c r="AN17" s="298"/>
      <c r="AO17" s="298"/>
      <c r="AP17" s="298"/>
      <c r="AQ17" s="298"/>
    </row>
    <row r="18" spans="1:43" ht="15.75">
      <c r="A18" s="300"/>
      <c r="B18" s="312" t="str">
        <f>'LIHTC Exec Summary'!$C$35</f>
        <v>State LIHTC Equity</v>
      </c>
      <c r="C18" s="868" t="e">
        <f>'LIHTC Exec Summary'!$F$35</f>
        <v>#DIV/0!</v>
      </c>
      <c r="D18" s="869"/>
      <c r="E18" s="834"/>
      <c r="F18" s="834"/>
      <c r="G18" s="834"/>
      <c r="H18" s="834"/>
      <c r="I18" s="834"/>
      <c r="J18" s="834"/>
      <c r="K18" s="834"/>
      <c r="L18" s="834"/>
      <c r="M18" s="871"/>
      <c r="N18" s="871"/>
      <c r="O18" s="871"/>
      <c r="P18" s="871"/>
      <c r="Q18" s="871"/>
      <c r="R18" s="871"/>
      <c r="S18" s="871"/>
      <c r="T18" s="871"/>
      <c r="U18" s="871"/>
      <c r="V18" s="871"/>
      <c r="W18" s="834"/>
      <c r="X18" s="810"/>
      <c r="Y18" s="834"/>
      <c r="Z18" s="868"/>
      <c r="AA18" s="870">
        <f t="shared" si="4"/>
        <v>0</v>
      </c>
      <c r="AB18" s="299" t="e">
        <f t="shared" si="5"/>
        <v>#DIV/0!</v>
      </c>
      <c r="AD18" s="465" t="s">
        <v>931</v>
      </c>
      <c r="AE18" s="298"/>
      <c r="AF18" s="705" t="e">
        <f>AF12-AF14-AF15-AF17</f>
        <v>#DIV/0!</v>
      </c>
      <c r="AG18" s="453"/>
      <c r="AH18" s="453"/>
      <c r="AI18" s="453"/>
      <c r="AJ18" s="453"/>
      <c r="AK18" s="298"/>
      <c r="AL18" s="464"/>
      <c r="AM18" s="298"/>
      <c r="AN18" s="298"/>
      <c r="AO18" s="298"/>
      <c r="AP18" s="298"/>
      <c r="AQ18" s="298"/>
    </row>
    <row r="19" spans="1:43" ht="15.75">
      <c r="A19" s="300"/>
      <c r="B19" s="312" t="str">
        <f>'LIHTC Exec Summary'!$C$33</f>
        <v>Seller Note</v>
      </c>
      <c r="C19" s="868">
        <f>'LIHTC Exec Summary'!$F$33</f>
        <v>0</v>
      </c>
      <c r="D19" s="869">
        <f>C19</f>
        <v>0</v>
      </c>
      <c r="E19" s="834"/>
      <c r="F19" s="834"/>
      <c r="G19" s="834"/>
      <c r="H19" s="834"/>
      <c r="I19" s="834"/>
      <c r="J19" s="834"/>
      <c r="K19" s="834"/>
      <c r="L19" s="834"/>
      <c r="M19" s="871"/>
      <c r="N19" s="871"/>
      <c r="O19" s="871"/>
      <c r="P19" s="871"/>
      <c r="Q19" s="871"/>
      <c r="R19" s="871"/>
      <c r="S19" s="871"/>
      <c r="T19" s="871"/>
      <c r="U19" s="871"/>
      <c r="V19" s="871"/>
      <c r="W19" s="834"/>
      <c r="X19" s="810"/>
      <c r="Y19" s="834"/>
      <c r="Z19" s="868"/>
      <c r="AA19" s="870">
        <f t="shared" si="4"/>
        <v>0</v>
      </c>
      <c r="AB19" s="299" t="str">
        <f t="shared" si="5"/>
        <v>ok</v>
      </c>
      <c r="AD19" s="300"/>
      <c r="AE19" s="298"/>
      <c r="AF19" s="703"/>
      <c r="AG19" s="453"/>
      <c r="AH19" s="453"/>
      <c r="AI19" s="453"/>
      <c r="AJ19" s="453"/>
      <c r="AK19" s="298"/>
      <c r="AL19" s="464"/>
      <c r="AM19" s="298"/>
      <c r="AN19" s="298"/>
      <c r="AO19" s="298"/>
      <c r="AP19" s="298"/>
      <c r="AQ19" s="298"/>
    </row>
    <row r="20" spans="1:43" ht="15.75">
      <c r="A20" s="300"/>
      <c r="B20" s="312" t="str">
        <f>'LIHTC Exec Summary'!$C$36</f>
        <v>Federal Historic Credit Equity</v>
      </c>
      <c r="C20" s="868">
        <f>'LIHTC Exec Summary'!$F$36</f>
        <v>0</v>
      </c>
      <c r="D20" s="869"/>
      <c r="E20" s="834"/>
      <c r="F20" s="834"/>
      <c r="G20" s="834"/>
      <c r="H20" s="834"/>
      <c r="I20" s="834"/>
      <c r="J20" s="834"/>
      <c r="K20" s="834"/>
      <c r="L20" s="834"/>
      <c r="M20" s="834"/>
      <c r="N20" s="834"/>
      <c r="O20" s="834"/>
      <c r="P20" s="834"/>
      <c r="Q20" s="834"/>
      <c r="R20" s="834"/>
      <c r="S20" s="834"/>
      <c r="T20" s="834"/>
      <c r="U20" s="834"/>
      <c r="V20" s="834"/>
      <c r="W20" s="834"/>
      <c r="X20" s="810"/>
      <c r="Y20" s="834"/>
      <c r="Z20" s="868"/>
      <c r="AA20" s="870">
        <f t="shared" si="4"/>
        <v>0</v>
      </c>
      <c r="AB20" s="299" t="str">
        <f t="shared" si="5"/>
        <v>ok</v>
      </c>
      <c r="AD20" s="300" t="s">
        <v>932</v>
      </c>
      <c r="AE20" s="298"/>
      <c r="AF20" s="703" t="e">
        <f>D17</f>
        <v>#DIV/0!</v>
      </c>
      <c r="AG20" s="457" t="s">
        <v>933</v>
      </c>
      <c r="AH20" s="453"/>
      <c r="AI20" s="453"/>
      <c r="AJ20" s="453"/>
      <c r="AK20" s="298"/>
      <c r="AL20" s="464"/>
      <c r="AM20" s="298"/>
      <c r="AN20" s="298"/>
      <c r="AO20" s="298"/>
      <c r="AP20" s="298"/>
      <c r="AQ20" s="298"/>
    </row>
    <row r="21" spans="1:43" ht="15.75">
      <c r="A21" s="300"/>
      <c r="B21" s="312" t="str">
        <f>'LIHTC Exec Summary'!$C$37</f>
        <v>State Historic Credit Equity</v>
      </c>
      <c r="C21" s="868">
        <f>'LIHTC Exec Summary'!$F$37</f>
        <v>0</v>
      </c>
      <c r="D21" s="869"/>
      <c r="E21" s="834"/>
      <c r="F21" s="834"/>
      <c r="G21" s="834"/>
      <c r="H21" s="834"/>
      <c r="I21" s="834"/>
      <c r="J21" s="834"/>
      <c r="K21" s="834"/>
      <c r="L21" s="834"/>
      <c r="M21" s="834"/>
      <c r="N21" s="834"/>
      <c r="O21" s="834"/>
      <c r="P21" s="834"/>
      <c r="Q21" s="834"/>
      <c r="R21" s="834"/>
      <c r="S21" s="834"/>
      <c r="T21" s="834"/>
      <c r="U21" s="834"/>
      <c r="V21" s="834"/>
      <c r="W21" s="834"/>
      <c r="X21" s="810"/>
      <c r="Y21" s="834"/>
      <c r="Z21" s="868"/>
      <c r="AA21" s="870">
        <f>SUM(D21:Y21)</f>
        <v>0</v>
      </c>
      <c r="AB21" s="299" t="str">
        <f t="shared" si="5"/>
        <v>ok</v>
      </c>
      <c r="AD21" s="300" t="s">
        <v>934</v>
      </c>
      <c r="AE21" s="298"/>
      <c r="AF21" s="704" t="e">
        <f>C19+C22+C23+C24+C25+C26</f>
        <v>#DIV/0!</v>
      </c>
      <c r="AG21" s="453"/>
      <c r="AH21" s="453"/>
      <c r="AI21" s="453"/>
      <c r="AJ21" s="453"/>
      <c r="AK21" s="298"/>
      <c r="AL21" s="464"/>
      <c r="AM21" s="298"/>
      <c r="AN21" s="298"/>
      <c r="AO21" s="298"/>
      <c r="AP21" s="298"/>
      <c r="AQ21" s="298"/>
    </row>
    <row r="22" spans="1:43" ht="15.75">
      <c r="A22" s="300"/>
      <c r="B22" s="312" t="str">
        <f>'LIHTC Exec Summary'!$C$34</f>
        <v>GP Loan/Contribution</v>
      </c>
      <c r="C22" s="868">
        <f>'LIHTC Exec Summary'!$F$34</f>
        <v>0</v>
      </c>
      <c r="D22" s="869">
        <f>C22</f>
        <v>0</v>
      </c>
      <c r="E22" s="834"/>
      <c r="F22" s="834"/>
      <c r="G22" s="834"/>
      <c r="H22" s="834"/>
      <c r="I22" s="834"/>
      <c r="J22" s="834"/>
      <c r="K22" s="834"/>
      <c r="L22" s="834"/>
      <c r="M22" s="834"/>
      <c r="N22" s="834"/>
      <c r="O22" s="834"/>
      <c r="P22" s="834"/>
      <c r="Q22" s="834"/>
      <c r="R22" s="834"/>
      <c r="S22" s="834"/>
      <c r="T22" s="834"/>
      <c r="U22" s="834"/>
      <c r="V22" s="834"/>
      <c r="W22" s="834"/>
      <c r="X22" s="810"/>
      <c r="Y22" s="834"/>
      <c r="Z22" s="868"/>
      <c r="AA22" s="870">
        <f t="shared" si="4"/>
        <v>0</v>
      </c>
      <c r="AB22" s="299" t="str">
        <f t="shared" si="5"/>
        <v>ok</v>
      </c>
      <c r="AD22" s="465" t="s">
        <v>935</v>
      </c>
      <c r="AE22" s="398"/>
      <c r="AF22" s="703" t="e">
        <f>AF18-AF20-AF21</f>
        <v>#DIV/0!</v>
      </c>
      <c r="AG22" s="705" t="e">
        <f>ROUNDUP(AF22,-5)</f>
        <v>#DIV/0!</v>
      </c>
      <c r="AH22" s="457" t="s">
        <v>936</v>
      </c>
      <c r="AI22" s="453"/>
      <c r="AJ22" s="453"/>
      <c r="AK22" s="298"/>
      <c r="AL22" s="464"/>
      <c r="AM22" s="298"/>
      <c r="AN22" s="298"/>
      <c r="AO22" s="298"/>
      <c r="AP22" s="298"/>
      <c r="AQ22" s="298"/>
    </row>
    <row r="23" spans="1:43" ht="15.75">
      <c r="A23" s="300"/>
      <c r="B23" s="312" t="s">
        <v>937</v>
      </c>
      <c r="C23" s="868" t="e">
        <f>'LIHTC Exec Summary'!$F$32</f>
        <v>#DIV/0!</v>
      </c>
      <c r="D23" s="869" t="e">
        <f>C23</f>
        <v>#DIV/0!</v>
      </c>
      <c r="E23" s="834"/>
      <c r="F23" s="834"/>
      <c r="G23" s="834"/>
      <c r="H23" s="834"/>
      <c r="I23" s="834"/>
      <c r="J23" s="834"/>
      <c r="K23" s="834"/>
      <c r="L23" s="834"/>
      <c r="M23" s="834"/>
      <c r="N23" s="834"/>
      <c r="O23" s="834"/>
      <c r="P23" s="834"/>
      <c r="Q23" s="834"/>
      <c r="R23" s="834"/>
      <c r="S23" s="834"/>
      <c r="T23" s="834"/>
      <c r="U23" s="834"/>
      <c r="V23" s="834"/>
      <c r="W23" s="834"/>
      <c r="X23" s="810"/>
      <c r="Y23" s="834"/>
      <c r="Z23" s="868"/>
      <c r="AA23" s="870" t="e">
        <f t="shared" si="4"/>
        <v>#DIV/0!</v>
      </c>
      <c r="AB23" s="299" t="e">
        <f t="shared" si="5"/>
        <v>#DIV/0!</v>
      </c>
      <c r="AD23" s="300"/>
      <c r="AE23" s="298"/>
      <c r="AF23" s="703"/>
      <c r="AG23" s="453"/>
      <c r="AH23" s="453"/>
      <c r="AI23" s="453"/>
      <c r="AJ23" s="453"/>
      <c r="AK23" s="298"/>
      <c r="AL23" s="464"/>
      <c r="AM23" s="298"/>
      <c r="AN23" s="298"/>
      <c r="AO23" s="298"/>
      <c r="AP23" s="298"/>
      <c r="AQ23" s="298"/>
    </row>
    <row r="24" spans="1:43" ht="15.75">
      <c r="A24" s="300"/>
      <c r="B24" s="312" t="str">
        <f>'LIHTC Exec Summary'!$C$38</f>
        <v>Soft Debt 1</v>
      </c>
      <c r="C24" s="868">
        <f>'LIHTC Exec Summary'!$F$38</f>
        <v>0</v>
      </c>
      <c r="D24" s="872"/>
      <c r="E24" s="873"/>
      <c r="F24" s="873"/>
      <c r="G24" s="873"/>
      <c r="H24" s="873"/>
      <c r="I24" s="839"/>
      <c r="J24" s="839"/>
      <c r="K24" s="839"/>
      <c r="L24" s="839"/>
      <c r="M24" s="839"/>
      <c r="N24" s="839"/>
      <c r="O24" s="839"/>
      <c r="P24" s="839"/>
      <c r="Q24" s="839"/>
      <c r="R24" s="839"/>
      <c r="S24" s="839"/>
      <c r="T24" s="839"/>
      <c r="U24" s="839"/>
      <c r="V24" s="839"/>
      <c r="W24" s="834"/>
      <c r="X24" s="810"/>
      <c r="Y24" s="834"/>
      <c r="Z24" s="868"/>
      <c r="AA24" s="870">
        <f t="shared" si="4"/>
        <v>0</v>
      </c>
      <c r="AB24" s="299" t="str">
        <f t="shared" si="5"/>
        <v>ok</v>
      </c>
      <c r="AD24" s="300"/>
      <c r="AE24" s="298"/>
      <c r="AF24" s="453"/>
      <c r="AG24" s="453"/>
      <c r="AH24" s="454"/>
      <c r="AI24" s="453"/>
      <c r="AJ24" s="453"/>
      <c r="AK24" s="298"/>
      <c r="AL24" s="464"/>
      <c r="AM24" s="298"/>
      <c r="AN24" s="298"/>
      <c r="AO24" s="298"/>
      <c r="AP24" s="298"/>
      <c r="AQ24" s="298"/>
    </row>
    <row r="25" spans="1:43" ht="15.75">
      <c r="A25" s="300"/>
      <c r="B25" s="313" t="str">
        <f>'LIHTC Exec Summary'!$C$39</f>
        <v>Soft Debt 2</v>
      </c>
      <c r="C25" s="874">
        <f>'LIHTC Exec Summary'!$F$39</f>
        <v>0</v>
      </c>
      <c r="D25" s="872"/>
      <c r="E25" s="873"/>
      <c r="F25" s="873"/>
      <c r="G25" s="873"/>
      <c r="H25" s="873"/>
      <c r="I25" s="873"/>
      <c r="J25" s="873"/>
      <c r="K25" s="873"/>
      <c r="L25" s="873"/>
      <c r="M25" s="873"/>
      <c r="N25" s="873"/>
      <c r="O25" s="873"/>
      <c r="P25" s="873"/>
      <c r="Q25" s="873"/>
      <c r="R25" s="873"/>
      <c r="S25" s="873"/>
      <c r="T25" s="873"/>
      <c r="U25" s="873"/>
      <c r="V25" s="873"/>
      <c r="W25" s="875"/>
      <c r="X25" s="814"/>
      <c r="Y25" s="875"/>
      <c r="Z25" s="874"/>
      <c r="AA25" s="870">
        <f t="shared" si="4"/>
        <v>0</v>
      </c>
      <c r="AB25" s="299" t="str">
        <f t="shared" si="5"/>
        <v>ok</v>
      </c>
      <c r="AD25" s="300" t="s">
        <v>938</v>
      </c>
      <c r="AE25" s="298"/>
      <c r="AF25" s="921">
        <v>0.04</v>
      </c>
      <c r="AG25" s="453"/>
      <c r="AH25" s="453"/>
      <c r="AI25" s="453"/>
      <c r="AJ25" s="453"/>
      <c r="AK25" s="298"/>
      <c r="AL25" s="464"/>
      <c r="AM25" s="298"/>
      <c r="AN25" s="298"/>
      <c r="AO25" s="298"/>
      <c r="AP25" s="298"/>
      <c r="AQ25" s="298"/>
    </row>
    <row r="26" spans="1:43" ht="15.75">
      <c r="A26" s="300"/>
      <c r="B26" s="313" t="str">
        <f>'LIHTC Exec Summary'!C40</f>
        <v>Interim Income (expenses paid)</v>
      </c>
      <c r="C26" s="874" t="e">
        <f>'LIHTC Exec Summary'!F40</f>
        <v>#DIV/0!</v>
      </c>
      <c r="D26" s="876"/>
      <c r="E26" s="839" t="e">
        <f>$C$26/'Timing-Leasing-TC Delivery'!$H$8</f>
        <v>#DIV/0!</v>
      </c>
      <c r="F26" s="839" t="e">
        <f>$C$26/'Timing-Leasing-TC Delivery'!$H$8</f>
        <v>#DIV/0!</v>
      </c>
      <c r="G26" s="839" t="e">
        <f>$C$26/'Timing-Leasing-TC Delivery'!$H$8</f>
        <v>#DIV/0!</v>
      </c>
      <c r="H26" s="839" t="e">
        <f>$C$26/'Timing-Leasing-TC Delivery'!$H$8</f>
        <v>#DIV/0!</v>
      </c>
      <c r="I26" s="839" t="e">
        <f>$C$26/'Timing-Leasing-TC Delivery'!$H$8</f>
        <v>#DIV/0!</v>
      </c>
      <c r="J26" s="839" t="e">
        <f>$C$26/'Timing-Leasing-TC Delivery'!$H$8</f>
        <v>#DIV/0!</v>
      </c>
      <c r="K26" s="839" t="e">
        <f>$C$26/'Timing-Leasing-TC Delivery'!$H$8</f>
        <v>#DIV/0!</v>
      </c>
      <c r="L26" s="839" t="e">
        <f>$C$26/'Timing-Leasing-TC Delivery'!$H$8</f>
        <v>#DIV/0!</v>
      </c>
      <c r="M26" s="839" t="e">
        <f>$C$26/'Timing-Leasing-TC Delivery'!$H$8</f>
        <v>#DIV/0!</v>
      </c>
      <c r="N26" s="839" t="e">
        <f>$C$26/'Timing-Leasing-TC Delivery'!$H$8</f>
        <v>#DIV/0!</v>
      </c>
      <c r="O26" s="839" t="e">
        <f>$C$26/'Timing-Leasing-TC Delivery'!$H$8</f>
        <v>#DIV/0!</v>
      </c>
      <c r="P26" s="877"/>
      <c r="Q26" s="873"/>
      <c r="R26" s="873"/>
      <c r="S26" s="873"/>
      <c r="T26" s="873"/>
      <c r="U26" s="873"/>
      <c r="V26" s="873"/>
      <c r="W26" s="875"/>
      <c r="X26" s="814"/>
      <c r="Y26" s="875"/>
      <c r="Z26" s="874"/>
      <c r="AA26" s="870" t="e">
        <f t="shared" si="4"/>
        <v>#DIV/0!</v>
      </c>
      <c r="AB26" s="299" t="e">
        <f t="shared" si="5"/>
        <v>#DIV/0!</v>
      </c>
      <c r="AD26" s="300" t="s">
        <v>939</v>
      </c>
      <c r="AE26" s="298"/>
      <c r="AF26" s="703" t="e">
        <f>ROUNDDOWN((Y6-D6)/30,0)</f>
        <v>#N/A</v>
      </c>
      <c r="AG26" s="453"/>
      <c r="AH26" s="1168"/>
      <c r="AI26" s="344"/>
      <c r="AJ26" s="344"/>
      <c r="AK26" s="298"/>
      <c r="AL26" s="464"/>
      <c r="AM26" s="298"/>
      <c r="AN26" s="298"/>
      <c r="AO26" s="298"/>
      <c r="AP26" s="298"/>
      <c r="AQ26" s="298"/>
    </row>
    <row r="27" spans="1:43" ht="15.75">
      <c r="A27" s="300"/>
      <c r="B27" s="313" t="s">
        <v>940</v>
      </c>
      <c r="C27" s="874" t="e">
        <f>SUM($D$27:V27)</f>
        <v>#DIV/0!</v>
      </c>
      <c r="D27" s="878" t="e">
        <f t="shared" ref="D27:V27" si="7">+D146-SUM(D16:D26)</f>
        <v>#DIV/0!</v>
      </c>
      <c r="E27" s="834" t="e">
        <f t="shared" si="7"/>
        <v>#DIV/0!</v>
      </c>
      <c r="F27" s="834" t="e">
        <f t="shared" si="7"/>
        <v>#DIV/0!</v>
      </c>
      <c r="G27" s="834" t="e">
        <f t="shared" si="7"/>
        <v>#DIV/0!</v>
      </c>
      <c r="H27" s="834" t="e">
        <f t="shared" si="7"/>
        <v>#DIV/0!</v>
      </c>
      <c r="I27" s="834" t="e">
        <f t="shared" si="7"/>
        <v>#DIV/0!</v>
      </c>
      <c r="J27" s="879" t="e">
        <f t="shared" si="7"/>
        <v>#DIV/0!</v>
      </c>
      <c r="K27" s="834" t="e">
        <f t="shared" si="7"/>
        <v>#DIV/0!</v>
      </c>
      <c r="L27" s="834" t="e">
        <f t="shared" si="7"/>
        <v>#DIV/0!</v>
      </c>
      <c r="M27" s="834" t="e">
        <f t="shared" si="7"/>
        <v>#DIV/0!</v>
      </c>
      <c r="N27" s="834" t="e">
        <f t="shared" si="7"/>
        <v>#DIV/0!</v>
      </c>
      <c r="O27" s="834" t="e">
        <f t="shared" si="7"/>
        <v>#DIV/0!</v>
      </c>
      <c r="P27" s="834" t="e">
        <f t="shared" si="7"/>
        <v>#DIV/0!</v>
      </c>
      <c r="Q27" s="834" t="e">
        <f t="shared" si="7"/>
        <v>#DIV/0!</v>
      </c>
      <c r="R27" s="834" t="e">
        <f t="shared" si="7"/>
        <v>#DIV/0!</v>
      </c>
      <c r="S27" s="834" t="e">
        <f t="shared" si="7"/>
        <v>#DIV/0!</v>
      </c>
      <c r="T27" s="834" t="e">
        <f t="shared" si="7"/>
        <v>#DIV/0!</v>
      </c>
      <c r="U27" s="834" t="e">
        <f t="shared" si="7"/>
        <v>#DIV/0!</v>
      </c>
      <c r="V27" s="834" t="e">
        <f t="shared" si="7"/>
        <v>#DIV/0!</v>
      </c>
      <c r="W27" s="875"/>
      <c r="X27" s="875"/>
      <c r="Y27" s="875"/>
      <c r="Z27" s="874"/>
      <c r="AA27" s="870" t="e">
        <f>SUM(D27:Y27)</f>
        <v>#DIV/0!</v>
      </c>
      <c r="AB27" s="299" t="e">
        <f t="shared" si="5"/>
        <v>#DIV/0!</v>
      </c>
      <c r="AD27" s="300" t="s">
        <v>941</v>
      </c>
      <c r="AE27" s="298"/>
      <c r="AF27" s="703" t="e">
        <f>AG22*AF25*(AF26/12)</f>
        <v>#DIV/0!</v>
      </c>
      <c r="AG27" s="453"/>
      <c r="AH27" s="1168"/>
      <c r="AI27" s="1168"/>
      <c r="AJ27" s="1168"/>
      <c r="AK27" s="298"/>
      <c r="AL27" s="464"/>
      <c r="AM27" s="298"/>
      <c r="AN27" s="298"/>
      <c r="AO27" s="298"/>
      <c r="AP27" s="298"/>
      <c r="AQ27" s="298"/>
    </row>
    <row r="28" spans="1:43" s="316" customFormat="1" ht="16.5" thickBot="1">
      <c r="A28" s="314"/>
      <c r="B28" s="315" t="str">
        <f>'LIHTC Exec Summary'!$C$41</f>
        <v>Deferred Developer Fee</v>
      </c>
      <c r="C28" s="880" t="e">
        <f>'LIHTC Exec Summary'!$F$41</f>
        <v>#DIV/0!</v>
      </c>
      <c r="D28" s="881"/>
      <c r="E28" s="882"/>
      <c r="F28" s="882"/>
      <c r="G28" s="882"/>
      <c r="H28" s="882"/>
      <c r="I28" s="882"/>
      <c r="J28" s="882"/>
      <c r="K28" s="882"/>
      <c r="L28" s="882"/>
      <c r="M28" s="882"/>
      <c r="N28" s="882"/>
      <c r="O28" s="882"/>
      <c r="P28" s="882"/>
      <c r="Q28" s="882"/>
      <c r="R28" s="882"/>
      <c r="S28" s="882"/>
      <c r="T28" s="882"/>
      <c r="U28" s="882"/>
      <c r="V28" s="882"/>
      <c r="W28" s="882"/>
      <c r="X28" s="815" t="e">
        <f>C28</f>
        <v>#DIV/0!</v>
      </c>
      <c r="Y28" s="815"/>
      <c r="Z28" s="816"/>
      <c r="AA28" s="883" t="e">
        <f>SUM(D28:Y28)</f>
        <v>#DIV/0!</v>
      </c>
      <c r="AB28" s="299" t="e">
        <f t="shared" si="5"/>
        <v>#DIV/0!</v>
      </c>
      <c r="AD28" s="300" t="s">
        <v>942</v>
      </c>
      <c r="AE28" s="298"/>
      <c r="AF28" s="458">
        <v>0.9</v>
      </c>
      <c r="AG28" s="453"/>
      <c r="AH28" s="454"/>
      <c r="AI28" s="453"/>
      <c r="AJ28" s="453"/>
      <c r="AK28" s="298"/>
      <c r="AL28" s="464"/>
      <c r="AM28" s="298"/>
      <c r="AN28" s="298"/>
      <c r="AO28" s="298"/>
      <c r="AP28" s="298"/>
      <c r="AQ28" s="298"/>
    </row>
    <row r="29" spans="1:43" ht="15.75">
      <c r="A29" s="300"/>
      <c r="B29" s="298"/>
      <c r="C29" s="920"/>
      <c r="D29" s="884"/>
      <c r="E29" s="885"/>
      <c r="F29" s="885"/>
      <c r="G29" s="885"/>
      <c r="H29" s="885"/>
      <c r="I29" s="885"/>
      <c r="J29" s="885"/>
      <c r="K29" s="885"/>
      <c r="L29" s="885"/>
      <c r="M29" s="885"/>
      <c r="N29" s="885"/>
      <c r="O29" s="885"/>
      <c r="P29" s="885"/>
      <c r="Q29" s="885"/>
      <c r="R29" s="885"/>
      <c r="S29" s="885"/>
      <c r="T29" s="885"/>
      <c r="U29" s="885"/>
      <c r="V29" s="885"/>
      <c r="W29" s="885"/>
      <c r="X29" s="817"/>
      <c r="Y29" s="885"/>
      <c r="Z29" s="885"/>
      <c r="AA29" s="885"/>
      <c r="AB29" s="299"/>
      <c r="AD29" s="465" t="s">
        <v>943</v>
      </c>
      <c r="AE29" s="398"/>
      <c r="AF29" s="705" t="e">
        <f>AF27*AF28</f>
        <v>#DIV/0!</v>
      </c>
      <c r="AG29" s="453"/>
      <c r="AH29" s="453"/>
      <c r="AI29" s="453"/>
      <c r="AJ29" s="453"/>
      <c r="AK29" s="298"/>
      <c r="AL29" s="464"/>
      <c r="AM29" s="298"/>
      <c r="AN29" s="298"/>
      <c r="AO29" s="298"/>
      <c r="AP29" s="298"/>
      <c r="AQ29" s="298"/>
    </row>
    <row r="30" spans="1:43" ht="16.5" thickBot="1">
      <c r="A30" s="300"/>
      <c r="B30" s="318" t="s">
        <v>282</v>
      </c>
      <c r="C30" s="886" t="e">
        <f t="shared" ref="C30:O30" si="8">ROUND(SUM(C16:C28),0)</f>
        <v>#DIV/0!</v>
      </c>
      <c r="D30" s="887" t="e">
        <f t="shared" si="8"/>
        <v>#DIV/0!</v>
      </c>
      <c r="E30" s="886" t="e">
        <f t="shared" si="8"/>
        <v>#DIV/0!</v>
      </c>
      <c r="F30" s="886" t="e">
        <f t="shared" si="8"/>
        <v>#DIV/0!</v>
      </c>
      <c r="G30" s="886" t="e">
        <f t="shared" si="8"/>
        <v>#DIV/0!</v>
      </c>
      <c r="H30" s="886" t="e">
        <f t="shared" si="8"/>
        <v>#DIV/0!</v>
      </c>
      <c r="I30" s="886" t="e">
        <f t="shared" si="8"/>
        <v>#DIV/0!</v>
      </c>
      <c r="J30" s="886" t="e">
        <f t="shared" si="8"/>
        <v>#DIV/0!</v>
      </c>
      <c r="K30" s="886" t="e">
        <f t="shared" si="8"/>
        <v>#DIV/0!</v>
      </c>
      <c r="L30" s="886" t="e">
        <f t="shared" si="8"/>
        <v>#DIV/0!</v>
      </c>
      <c r="M30" s="886" t="e">
        <f t="shared" si="8"/>
        <v>#DIV/0!</v>
      </c>
      <c r="N30" s="886" t="e">
        <f t="shared" si="8"/>
        <v>#DIV/0!</v>
      </c>
      <c r="O30" s="886" t="e">
        <f t="shared" si="8"/>
        <v>#DIV/0!</v>
      </c>
      <c r="P30" s="886"/>
      <c r="Q30" s="886"/>
      <c r="R30" s="886"/>
      <c r="S30" s="886"/>
      <c r="T30" s="886"/>
      <c r="U30" s="886"/>
      <c r="V30" s="886"/>
      <c r="W30" s="886" t="e">
        <f>ROUND(SUM(W16:W28),0)</f>
        <v>#DIV/0!</v>
      </c>
      <c r="X30" s="886" t="e">
        <f>ROUND(SUM(X16:X28),0)</f>
        <v>#DIV/0!</v>
      </c>
      <c r="Y30" s="886" t="e">
        <f>ROUNDUP(SUM(Y16:Y28),10)</f>
        <v>#DIV/0!</v>
      </c>
      <c r="Z30" s="886"/>
      <c r="AA30" s="886" t="e">
        <f>ROUND(SUM(AA16:AA28),0)</f>
        <v>#DIV/0!</v>
      </c>
      <c r="AB30" s="299" t="e">
        <f t="shared" si="5"/>
        <v>#DIV/0!</v>
      </c>
      <c r="AD30" s="466"/>
      <c r="AE30" s="467"/>
      <c r="AF30" s="468"/>
      <c r="AG30" s="468"/>
      <c r="AH30" s="468"/>
      <c r="AI30" s="468"/>
      <c r="AJ30" s="468"/>
      <c r="AK30" s="467"/>
      <c r="AL30" s="469"/>
      <c r="AM30" s="298"/>
      <c r="AN30" s="298"/>
      <c r="AO30" s="298"/>
      <c r="AP30" s="298"/>
      <c r="AQ30" s="298"/>
    </row>
    <row r="31" spans="1:43" ht="16.5" thickBot="1">
      <c r="A31" s="298"/>
      <c r="B31" s="319"/>
      <c r="C31" s="320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1"/>
      <c r="Y31" s="321"/>
      <c r="Z31" s="321"/>
      <c r="AA31" s="321"/>
      <c r="AB31" s="299"/>
      <c r="AD31" s="298"/>
      <c r="AE31" s="298"/>
      <c r="AF31" s="455"/>
      <c r="AG31" s="453"/>
      <c r="AH31" s="453"/>
      <c r="AI31" s="453"/>
      <c r="AJ31" s="453"/>
      <c r="AK31" s="298"/>
      <c r="AL31" s="298"/>
      <c r="AM31" s="298"/>
      <c r="AN31" s="298"/>
      <c r="AO31" s="298"/>
      <c r="AP31" s="298"/>
      <c r="AQ31" s="298"/>
    </row>
    <row r="32" spans="1:43" ht="16.5" thickBot="1">
      <c r="A32" s="300"/>
      <c r="B32" s="1751" t="s">
        <v>252</v>
      </c>
      <c r="C32" s="1752"/>
      <c r="D32" s="1752"/>
      <c r="E32" s="1752"/>
      <c r="F32" s="1752"/>
      <c r="G32" s="1752"/>
      <c r="H32" s="1752"/>
      <c r="I32" s="1752"/>
      <c r="J32" s="1752"/>
      <c r="K32" s="1752"/>
      <c r="L32" s="1752"/>
      <c r="M32" s="1752"/>
      <c r="N32" s="1752"/>
      <c r="O32" s="1752"/>
      <c r="P32" s="1752"/>
      <c r="Q32" s="1752"/>
      <c r="R32" s="1752"/>
      <c r="S32" s="1752"/>
      <c r="T32" s="1752"/>
      <c r="U32" s="1752"/>
      <c r="V32" s="1752"/>
      <c r="W32" s="1752"/>
      <c r="X32" s="1752"/>
      <c r="Y32" s="1752"/>
      <c r="Z32" s="1752"/>
      <c r="AA32" s="1753"/>
      <c r="AB32" s="299"/>
      <c r="AD32" s="1172"/>
      <c r="AE32" s="1173"/>
      <c r="AF32" s="1174" t="s">
        <v>944</v>
      </c>
      <c r="AG32" s="1183"/>
      <c r="AH32" s="1183"/>
      <c r="AI32" s="1183"/>
      <c r="AJ32" s="1183"/>
      <c r="AK32" s="1173"/>
      <c r="AL32" s="1184"/>
      <c r="AM32" s="298"/>
      <c r="AN32" s="298"/>
      <c r="AO32" s="298"/>
      <c r="AP32" s="298"/>
      <c r="AQ32" s="298"/>
    </row>
    <row r="33" spans="1:43" ht="16.5" thickBot="1">
      <c r="A33" s="300"/>
      <c r="B33" s="322"/>
      <c r="C33" s="298"/>
      <c r="D33" s="323"/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3"/>
      <c r="X33" s="324"/>
      <c r="Y33" s="323"/>
      <c r="Z33" s="323"/>
      <c r="AA33" s="323"/>
      <c r="AB33" s="299"/>
      <c r="AD33" s="300"/>
      <c r="AE33" s="298"/>
      <c r="AF33" s="1169" t="s">
        <v>945</v>
      </c>
      <c r="AG33" s="1169" t="s">
        <v>329</v>
      </c>
      <c r="AH33" s="453"/>
      <c r="AI33" s="453"/>
      <c r="AJ33" s="453"/>
      <c r="AK33" s="298"/>
      <c r="AL33" s="464"/>
      <c r="AM33" s="298"/>
      <c r="AN33" s="298"/>
      <c r="AO33" s="298"/>
      <c r="AP33" s="298"/>
      <c r="AQ33" s="298"/>
    </row>
    <row r="34" spans="1:43" ht="16.5" thickBot="1">
      <c r="A34" s="300"/>
      <c r="B34" s="325" t="s">
        <v>252</v>
      </c>
      <c r="C34" s="298"/>
      <c r="D34" s="350" t="s">
        <v>912</v>
      </c>
      <c r="E34" s="395">
        <f t="shared" ref="E34:V34" si="9">E9</f>
        <v>1</v>
      </c>
      <c r="F34" s="395">
        <f t="shared" si="9"/>
        <v>2</v>
      </c>
      <c r="G34" s="395">
        <f t="shared" si="9"/>
        <v>3</v>
      </c>
      <c r="H34" s="395">
        <f t="shared" si="9"/>
        <v>4</v>
      </c>
      <c r="I34" s="395">
        <f t="shared" si="9"/>
        <v>5</v>
      </c>
      <c r="J34" s="395">
        <f t="shared" si="9"/>
        <v>6</v>
      </c>
      <c r="K34" s="395">
        <f t="shared" si="9"/>
        <v>7</v>
      </c>
      <c r="L34" s="395">
        <f t="shared" si="9"/>
        <v>8</v>
      </c>
      <c r="M34" s="395">
        <f t="shared" si="9"/>
        <v>9</v>
      </c>
      <c r="N34" s="395">
        <f t="shared" si="9"/>
        <v>10</v>
      </c>
      <c r="O34" s="395">
        <f t="shared" si="9"/>
        <v>11</v>
      </c>
      <c r="P34" s="395">
        <f t="shared" si="9"/>
        <v>12</v>
      </c>
      <c r="Q34" s="395">
        <f t="shared" si="9"/>
        <v>13</v>
      </c>
      <c r="R34" s="395">
        <f t="shared" si="9"/>
        <v>14</v>
      </c>
      <c r="S34" s="395">
        <f t="shared" si="9"/>
        <v>15</v>
      </c>
      <c r="T34" s="395">
        <f t="shared" si="9"/>
        <v>16</v>
      </c>
      <c r="U34" s="395">
        <f t="shared" si="9"/>
        <v>17</v>
      </c>
      <c r="V34" s="395">
        <f t="shared" si="9"/>
        <v>18</v>
      </c>
      <c r="W34" s="323"/>
      <c r="X34" s="324"/>
      <c r="Y34" s="323"/>
      <c r="Z34" s="323"/>
      <c r="AA34" s="440" t="s">
        <v>891</v>
      </c>
      <c r="AB34" s="299"/>
      <c r="AD34" s="1175">
        <v>1</v>
      </c>
      <c r="AE34" s="1176">
        <f>D6</f>
        <v>-31</v>
      </c>
      <c r="AF34" s="1214" t="e">
        <f>$AG$22</f>
        <v>#DIV/0!</v>
      </c>
      <c r="AG34" s="1170" t="e">
        <f>$AF$25*AF34/12</f>
        <v>#DIV/0!</v>
      </c>
      <c r="AH34" s="453"/>
      <c r="AI34" s="457" t="s">
        <v>946</v>
      </c>
      <c r="AJ34" s="453"/>
      <c r="AK34" s="298"/>
      <c r="AL34" s="1177" t="e">
        <f>AF34*$AF$25</f>
        <v>#DIV/0!</v>
      </c>
      <c r="AM34" s="298"/>
      <c r="AN34" s="298"/>
      <c r="AO34" s="298"/>
      <c r="AP34" s="298"/>
      <c r="AQ34" s="298"/>
    </row>
    <row r="35" spans="1:43" ht="15.75">
      <c r="A35" s="300"/>
      <c r="B35" s="436" t="str">
        <f>'Development Costs'!A4</f>
        <v>Acquisition Cost</v>
      </c>
      <c r="C35" s="820"/>
      <c r="D35" s="821"/>
      <c r="E35" s="822"/>
      <c r="F35" s="822"/>
      <c r="G35" s="822"/>
      <c r="H35" s="822"/>
      <c r="I35" s="822"/>
      <c r="J35" s="822"/>
      <c r="K35" s="822"/>
      <c r="L35" s="822"/>
      <c r="M35" s="822"/>
      <c r="N35" s="822"/>
      <c r="O35" s="822"/>
      <c r="P35" s="822"/>
      <c r="Q35" s="822"/>
      <c r="R35" s="822"/>
      <c r="S35" s="822"/>
      <c r="T35" s="822"/>
      <c r="U35" s="822"/>
      <c r="V35" s="822"/>
      <c r="W35" s="822"/>
      <c r="X35" s="806"/>
      <c r="Y35" s="822"/>
      <c r="Z35" s="823"/>
      <c r="AA35" s="824"/>
      <c r="AB35" s="299" t="str">
        <f t="shared" si="5"/>
        <v>ok</v>
      </c>
      <c r="AD35" s="1175">
        <v>2</v>
      </c>
      <c r="AE35" s="1176" t="e">
        <f>EDATE(AE34,1)</f>
        <v>#NUM!</v>
      </c>
      <c r="AF35" s="1214" t="e">
        <f t="shared" ref="AF35:AF46" si="10">$AG$22</f>
        <v>#DIV/0!</v>
      </c>
      <c r="AG35" s="1170" t="e">
        <f t="shared" ref="AG35:AG57" si="11">$AF$25*AF35/12</f>
        <v>#DIV/0!</v>
      </c>
      <c r="AH35" s="453"/>
      <c r="AI35" s="453"/>
      <c r="AJ35" s="453"/>
      <c r="AK35" s="298"/>
      <c r="AL35" s="464"/>
      <c r="AM35" s="298"/>
      <c r="AN35" s="298"/>
      <c r="AO35" s="298"/>
      <c r="AP35" s="298"/>
      <c r="AQ35" s="298"/>
    </row>
    <row r="36" spans="1:43" ht="15.75">
      <c r="A36" s="300"/>
      <c r="B36" s="437" t="str">
        <f>'Development Costs'!C5</f>
        <v>Land</v>
      </c>
      <c r="C36" s="825">
        <f>'Development Costs'!I5</f>
        <v>0</v>
      </c>
      <c r="D36" s="826">
        <f>C36</f>
        <v>0</v>
      </c>
      <c r="E36" s="827"/>
      <c r="F36" s="827"/>
      <c r="G36" s="827"/>
      <c r="H36" s="827"/>
      <c r="I36" s="827"/>
      <c r="J36" s="827"/>
      <c r="K36" s="827"/>
      <c r="L36" s="827"/>
      <c r="M36" s="827"/>
      <c r="N36" s="827"/>
      <c r="O36" s="827"/>
      <c r="P36" s="827"/>
      <c r="Q36" s="827"/>
      <c r="R36" s="827"/>
      <c r="S36" s="827"/>
      <c r="T36" s="827"/>
      <c r="U36" s="827"/>
      <c r="V36" s="827"/>
      <c r="W36" s="827"/>
      <c r="X36" s="807"/>
      <c r="Y36" s="827"/>
      <c r="Z36" s="828"/>
      <c r="AA36" s="829">
        <f>SUM(D36:Y36)</f>
        <v>0</v>
      </c>
      <c r="AB36" s="299" t="str">
        <f t="shared" ref="AB36:AB100" si="12">IF(AA36=C36,"ok","alert")</f>
        <v>ok</v>
      </c>
      <c r="AD36" s="1175">
        <v>3</v>
      </c>
      <c r="AE36" s="1176" t="e">
        <f t="shared" ref="AE36:AE57" si="13">EDATE(AE35,1)</f>
        <v>#NUM!</v>
      </c>
      <c r="AF36" s="1214" t="e">
        <f t="shared" si="10"/>
        <v>#DIV/0!</v>
      </c>
      <c r="AG36" s="1170" t="e">
        <f t="shared" si="11"/>
        <v>#DIV/0!</v>
      </c>
      <c r="AH36" s="453"/>
      <c r="AI36" s="453"/>
      <c r="AJ36" s="453"/>
      <c r="AK36" s="298"/>
      <c r="AL36" s="464"/>
      <c r="AM36" s="298"/>
      <c r="AN36" s="298"/>
      <c r="AO36" s="298"/>
      <c r="AP36" s="298"/>
      <c r="AQ36" s="298"/>
    </row>
    <row r="37" spans="1:43" ht="15.75">
      <c r="A37" s="300"/>
      <c r="B37" s="437" t="str">
        <f>'Development Costs'!C6</f>
        <v>Building</v>
      </c>
      <c r="C37" s="825">
        <f>'Development Costs'!I6</f>
        <v>0</v>
      </c>
      <c r="D37" s="830">
        <f>C37</f>
        <v>0</v>
      </c>
      <c r="E37" s="831"/>
      <c r="F37" s="831"/>
      <c r="G37" s="831"/>
      <c r="H37" s="831"/>
      <c r="I37" s="831"/>
      <c r="J37" s="831"/>
      <c r="K37" s="831"/>
      <c r="L37" s="831"/>
      <c r="M37" s="831"/>
      <c r="N37" s="831"/>
      <c r="O37" s="831"/>
      <c r="P37" s="831"/>
      <c r="Q37" s="831"/>
      <c r="R37" s="831"/>
      <c r="S37" s="831"/>
      <c r="T37" s="831"/>
      <c r="U37" s="831"/>
      <c r="V37" s="831"/>
      <c r="W37" s="832"/>
      <c r="X37" s="808"/>
      <c r="Y37" s="832"/>
      <c r="Z37" s="833"/>
      <c r="AA37" s="829">
        <f t="shared" ref="AA37:AA101" si="14">SUM(D37:Y37)</f>
        <v>0</v>
      </c>
      <c r="AB37" s="299" t="str">
        <f t="shared" si="12"/>
        <v>ok</v>
      </c>
      <c r="AD37" s="1175">
        <v>4</v>
      </c>
      <c r="AE37" s="1176" t="e">
        <f t="shared" si="13"/>
        <v>#NUM!</v>
      </c>
      <c r="AF37" s="1214" t="e">
        <f t="shared" si="10"/>
        <v>#DIV/0!</v>
      </c>
      <c r="AG37" s="1170" t="e">
        <f t="shared" si="11"/>
        <v>#DIV/0!</v>
      </c>
      <c r="AH37" s="453"/>
      <c r="AI37" s="453"/>
      <c r="AJ37" s="453"/>
      <c r="AK37" s="298"/>
      <c r="AL37" s="464"/>
      <c r="AM37" s="298"/>
      <c r="AN37" s="298"/>
      <c r="AO37" s="298"/>
      <c r="AP37" s="298"/>
      <c r="AQ37" s="298"/>
    </row>
    <row r="38" spans="1:43" ht="15.75">
      <c r="A38" s="300"/>
      <c r="B38" s="437" t="str">
        <f>'Development Costs'!C7</f>
        <v>Broker Commission/Fee</v>
      </c>
      <c r="C38" s="825">
        <f>'Development Costs'!I7</f>
        <v>0</v>
      </c>
      <c r="D38" s="830">
        <f>C38</f>
        <v>0</v>
      </c>
      <c r="E38" s="834"/>
      <c r="F38" s="834"/>
      <c r="G38" s="834"/>
      <c r="H38" s="834"/>
      <c r="I38" s="834"/>
      <c r="J38" s="834"/>
      <c r="K38" s="834"/>
      <c r="L38" s="834"/>
      <c r="M38" s="834"/>
      <c r="N38" s="834"/>
      <c r="O38" s="834"/>
      <c r="P38" s="834"/>
      <c r="Q38" s="834"/>
      <c r="R38" s="834"/>
      <c r="S38" s="834"/>
      <c r="T38" s="834"/>
      <c r="U38" s="834"/>
      <c r="V38" s="834"/>
      <c r="W38" s="835"/>
      <c r="X38" s="809"/>
      <c r="Y38" s="835"/>
      <c r="Z38" s="836"/>
      <c r="AA38" s="829">
        <f t="shared" si="14"/>
        <v>0</v>
      </c>
      <c r="AB38" s="299" t="str">
        <f t="shared" si="12"/>
        <v>ok</v>
      </c>
      <c r="AD38" s="1175">
        <v>5</v>
      </c>
      <c r="AE38" s="1176" t="e">
        <f t="shared" si="13"/>
        <v>#NUM!</v>
      </c>
      <c r="AF38" s="1214" t="e">
        <f t="shared" si="10"/>
        <v>#DIV/0!</v>
      </c>
      <c r="AG38" s="1170" t="e">
        <f t="shared" si="11"/>
        <v>#DIV/0!</v>
      </c>
      <c r="AH38" s="453"/>
      <c r="AI38" s="453"/>
      <c r="AJ38" s="453"/>
      <c r="AK38" s="298"/>
      <c r="AL38" s="464"/>
      <c r="AM38" s="298"/>
      <c r="AN38" s="298"/>
      <c r="AO38" s="298"/>
      <c r="AP38" s="298"/>
      <c r="AQ38" s="298"/>
    </row>
    <row r="39" spans="1:43" ht="15.75">
      <c r="A39" s="300"/>
      <c r="B39" s="326"/>
      <c r="C39" s="837"/>
      <c r="D39" s="830"/>
      <c r="E39" s="834"/>
      <c r="F39" s="834"/>
      <c r="G39" s="834"/>
      <c r="H39" s="834"/>
      <c r="I39" s="834"/>
      <c r="J39" s="834"/>
      <c r="K39" s="834"/>
      <c r="L39" s="834"/>
      <c r="M39" s="834"/>
      <c r="N39" s="834"/>
      <c r="O39" s="834"/>
      <c r="P39" s="834"/>
      <c r="Q39" s="834"/>
      <c r="R39" s="834"/>
      <c r="S39" s="834"/>
      <c r="T39" s="834"/>
      <c r="U39" s="834"/>
      <c r="V39" s="834"/>
      <c r="W39" s="835"/>
      <c r="X39" s="809"/>
      <c r="Y39" s="835"/>
      <c r="Z39" s="836"/>
      <c r="AA39" s="829"/>
      <c r="AB39" s="299"/>
      <c r="AD39" s="1175">
        <v>6</v>
      </c>
      <c r="AE39" s="1176" t="e">
        <f t="shared" si="13"/>
        <v>#NUM!</v>
      </c>
      <c r="AF39" s="1214" t="e">
        <f t="shared" si="10"/>
        <v>#DIV/0!</v>
      </c>
      <c r="AG39" s="1170" t="e">
        <f t="shared" si="11"/>
        <v>#DIV/0!</v>
      </c>
      <c r="AH39" s="453"/>
      <c r="AI39" s="453"/>
      <c r="AJ39" s="453"/>
      <c r="AK39" s="298"/>
      <c r="AL39" s="464"/>
      <c r="AM39" s="298"/>
      <c r="AN39" s="298"/>
      <c r="AO39" s="298"/>
      <c r="AP39" s="298"/>
      <c r="AQ39" s="298"/>
    </row>
    <row r="40" spans="1:43" ht="15.75">
      <c r="A40" s="300"/>
      <c r="B40" s="438" t="str">
        <f>'Development Costs'!A10</f>
        <v>Construction Costs</v>
      </c>
      <c r="C40" s="837"/>
      <c r="D40" s="838"/>
      <c r="E40" s="834"/>
      <c r="F40" s="834"/>
      <c r="G40" s="834"/>
      <c r="H40" s="834"/>
      <c r="I40" s="834"/>
      <c r="J40" s="834"/>
      <c r="K40" s="834"/>
      <c r="L40" s="834"/>
      <c r="M40" s="834"/>
      <c r="N40" s="834"/>
      <c r="O40" s="834"/>
      <c r="P40" s="834"/>
      <c r="Q40" s="834"/>
      <c r="R40" s="834"/>
      <c r="S40" s="834"/>
      <c r="T40" s="834"/>
      <c r="U40" s="834"/>
      <c r="V40" s="834"/>
      <c r="W40" s="834"/>
      <c r="X40" s="810"/>
      <c r="Y40" s="835"/>
      <c r="Z40" s="836"/>
      <c r="AA40" s="829"/>
      <c r="AB40" s="299"/>
      <c r="AD40" s="1175">
        <v>7</v>
      </c>
      <c r="AE40" s="1176" t="e">
        <f t="shared" si="13"/>
        <v>#NUM!</v>
      </c>
      <c r="AF40" s="1214" t="e">
        <f t="shared" si="10"/>
        <v>#DIV/0!</v>
      </c>
      <c r="AG40" s="1170" t="e">
        <f t="shared" si="11"/>
        <v>#DIV/0!</v>
      </c>
      <c r="AH40" s="453"/>
      <c r="AI40" s="453"/>
      <c r="AJ40" s="453"/>
      <c r="AK40" s="298"/>
      <c r="AL40" s="464"/>
      <c r="AM40" s="298"/>
      <c r="AN40" s="298"/>
      <c r="AO40" s="298"/>
      <c r="AP40" s="298"/>
      <c r="AQ40" s="298"/>
    </row>
    <row r="41" spans="1:43" ht="15.75">
      <c r="A41" s="300"/>
      <c r="B41" s="437" t="str">
        <f>'Development Costs'!C11</f>
        <v>Hard Construction Costs</v>
      </c>
      <c r="C41" s="837">
        <f>'Development Costs'!I11</f>
        <v>0</v>
      </c>
      <c r="D41" s="838"/>
      <c r="E41" s="834">
        <f t="shared" ref="E41:V41" si="15">$C$41*E7</f>
        <v>0</v>
      </c>
      <c r="F41" s="834">
        <f t="shared" si="15"/>
        <v>0</v>
      </c>
      <c r="G41" s="834">
        <f t="shared" si="15"/>
        <v>0</v>
      </c>
      <c r="H41" s="834">
        <f t="shared" si="15"/>
        <v>0</v>
      </c>
      <c r="I41" s="834">
        <f t="shared" si="15"/>
        <v>0</v>
      </c>
      <c r="J41" s="834">
        <f t="shared" si="15"/>
        <v>0</v>
      </c>
      <c r="K41" s="834">
        <f t="shared" si="15"/>
        <v>0</v>
      </c>
      <c r="L41" s="834">
        <f t="shared" si="15"/>
        <v>0</v>
      </c>
      <c r="M41" s="834">
        <f t="shared" si="15"/>
        <v>0</v>
      </c>
      <c r="N41" s="834">
        <f t="shared" si="15"/>
        <v>0</v>
      </c>
      <c r="O41" s="834">
        <f t="shared" si="15"/>
        <v>0</v>
      </c>
      <c r="P41" s="834">
        <f t="shared" si="15"/>
        <v>0</v>
      </c>
      <c r="Q41" s="834">
        <f t="shared" si="15"/>
        <v>0</v>
      </c>
      <c r="R41" s="834">
        <f t="shared" si="15"/>
        <v>0</v>
      </c>
      <c r="S41" s="834">
        <f t="shared" si="15"/>
        <v>0</v>
      </c>
      <c r="T41" s="834">
        <f t="shared" si="15"/>
        <v>0</v>
      </c>
      <c r="U41" s="834">
        <f t="shared" si="15"/>
        <v>0</v>
      </c>
      <c r="V41" s="834">
        <f t="shared" si="15"/>
        <v>0</v>
      </c>
      <c r="W41" s="827"/>
      <c r="X41" s="807"/>
      <c r="Y41" s="835"/>
      <c r="Z41" s="836"/>
      <c r="AA41" s="829">
        <f t="shared" si="14"/>
        <v>0</v>
      </c>
      <c r="AB41" s="299" t="str">
        <f t="shared" si="12"/>
        <v>ok</v>
      </c>
      <c r="AD41" s="1175">
        <v>8</v>
      </c>
      <c r="AE41" s="1176" t="e">
        <f t="shared" si="13"/>
        <v>#NUM!</v>
      </c>
      <c r="AF41" s="1214" t="e">
        <f t="shared" si="10"/>
        <v>#DIV/0!</v>
      </c>
      <c r="AG41" s="1170" t="e">
        <f t="shared" si="11"/>
        <v>#DIV/0!</v>
      </c>
      <c r="AH41" s="453"/>
      <c r="AI41" s="453"/>
      <c r="AJ41" s="453"/>
      <c r="AK41" s="298"/>
      <c r="AL41" s="464"/>
      <c r="AM41" s="298"/>
      <c r="AN41" s="298"/>
      <c r="AO41" s="298"/>
      <c r="AP41" s="298"/>
      <c r="AQ41" s="298"/>
    </row>
    <row r="42" spans="1:43" ht="15.75">
      <c r="A42" s="300"/>
      <c r="B42" s="437" t="str">
        <f>'Development Costs'!C12</f>
        <v>Site Work</v>
      </c>
      <c r="C42" s="837">
        <f>'Development Costs'!I12</f>
        <v>0</v>
      </c>
      <c r="D42" s="838"/>
      <c r="E42" s="839">
        <f>C42*E7</f>
        <v>0</v>
      </c>
      <c r="F42" s="839">
        <f t="shared" ref="F42:V42" si="16">D42*F7</f>
        <v>0</v>
      </c>
      <c r="G42" s="839">
        <f t="shared" si="16"/>
        <v>0</v>
      </c>
      <c r="H42" s="839">
        <f t="shared" si="16"/>
        <v>0</v>
      </c>
      <c r="I42" s="839">
        <f t="shared" si="16"/>
        <v>0</v>
      </c>
      <c r="J42" s="839">
        <f t="shared" si="16"/>
        <v>0</v>
      </c>
      <c r="K42" s="839">
        <f t="shared" si="16"/>
        <v>0</v>
      </c>
      <c r="L42" s="839">
        <f t="shared" si="16"/>
        <v>0</v>
      </c>
      <c r="M42" s="839">
        <f t="shared" si="16"/>
        <v>0</v>
      </c>
      <c r="N42" s="839">
        <f t="shared" si="16"/>
        <v>0</v>
      </c>
      <c r="O42" s="839">
        <f t="shared" si="16"/>
        <v>0</v>
      </c>
      <c r="P42" s="839">
        <f t="shared" si="16"/>
        <v>0</v>
      </c>
      <c r="Q42" s="839">
        <f t="shared" si="16"/>
        <v>0</v>
      </c>
      <c r="R42" s="839">
        <f t="shared" si="16"/>
        <v>0</v>
      </c>
      <c r="S42" s="839">
        <f t="shared" si="16"/>
        <v>0</v>
      </c>
      <c r="T42" s="839">
        <f t="shared" si="16"/>
        <v>0</v>
      </c>
      <c r="U42" s="839">
        <f t="shared" si="16"/>
        <v>0</v>
      </c>
      <c r="V42" s="839">
        <f t="shared" si="16"/>
        <v>0</v>
      </c>
      <c r="W42" s="827"/>
      <c r="X42" s="807"/>
      <c r="Y42" s="835"/>
      <c r="Z42" s="836"/>
      <c r="AA42" s="829">
        <f t="shared" si="14"/>
        <v>0</v>
      </c>
      <c r="AB42" s="299" t="str">
        <f t="shared" si="12"/>
        <v>ok</v>
      </c>
      <c r="AD42" s="1175">
        <v>9</v>
      </c>
      <c r="AE42" s="1176" t="e">
        <f t="shared" si="13"/>
        <v>#NUM!</v>
      </c>
      <c r="AF42" s="1214" t="e">
        <f t="shared" si="10"/>
        <v>#DIV/0!</v>
      </c>
      <c r="AG42" s="1170" t="e">
        <f t="shared" si="11"/>
        <v>#DIV/0!</v>
      </c>
      <c r="AH42" s="453"/>
      <c r="AI42" s="453"/>
      <c r="AJ42" s="453"/>
      <c r="AK42" s="298"/>
      <c r="AL42" s="464"/>
    </row>
    <row r="43" spans="1:43" ht="15.75">
      <c r="A43" s="300"/>
      <c r="B43" s="437" t="str">
        <f>'Development Costs'!C13</f>
        <v>Appliances</v>
      </c>
      <c r="C43" s="837">
        <f>'Development Costs'!I13</f>
        <v>0</v>
      </c>
      <c r="D43" s="838"/>
      <c r="E43" s="834">
        <f t="shared" ref="E43:V43" si="17">$C$43*E7</f>
        <v>0</v>
      </c>
      <c r="F43" s="834">
        <f t="shared" si="17"/>
        <v>0</v>
      </c>
      <c r="G43" s="834">
        <f t="shared" si="17"/>
        <v>0</v>
      </c>
      <c r="H43" s="834">
        <f t="shared" si="17"/>
        <v>0</v>
      </c>
      <c r="I43" s="834">
        <f t="shared" si="17"/>
        <v>0</v>
      </c>
      <c r="J43" s="834">
        <f t="shared" si="17"/>
        <v>0</v>
      </c>
      <c r="K43" s="834">
        <f t="shared" si="17"/>
        <v>0</v>
      </c>
      <c r="L43" s="834">
        <f t="shared" si="17"/>
        <v>0</v>
      </c>
      <c r="M43" s="834">
        <f t="shared" si="17"/>
        <v>0</v>
      </c>
      <c r="N43" s="834">
        <f t="shared" si="17"/>
        <v>0</v>
      </c>
      <c r="O43" s="834">
        <f t="shared" si="17"/>
        <v>0</v>
      </c>
      <c r="P43" s="834">
        <f t="shared" si="17"/>
        <v>0</v>
      </c>
      <c r="Q43" s="834">
        <f t="shared" si="17"/>
        <v>0</v>
      </c>
      <c r="R43" s="834">
        <f t="shared" si="17"/>
        <v>0</v>
      </c>
      <c r="S43" s="834">
        <f t="shared" si="17"/>
        <v>0</v>
      </c>
      <c r="T43" s="834">
        <f t="shared" si="17"/>
        <v>0</v>
      </c>
      <c r="U43" s="834">
        <f t="shared" si="17"/>
        <v>0</v>
      </c>
      <c r="V43" s="834">
        <f t="shared" si="17"/>
        <v>0</v>
      </c>
      <c r="W43" s="834"/>
      <c r="X43" s="810"/>
      <c r="Y43" s="835"/>
      <c r="Z43" s="836"/>
      <c r="AA43" s="829">
        <f t="shared" si="14"/>
        <v>0</v>
      </c>
      <c r="AB43" s="299" t="str">
        <f t="shared" si="12"/>
        <v>ok</v>
      </c>
      <c r="AD43" s="1175">
        <v>10</v>
      </c>
      <c r="AE43" s="1176" t="e">
        <f t="shared" si="13"/>
        <v>#NUM!</v>
      </c>
      <c r="AF43" s="1214" t="e">
        <f t="shared" si="10"/>
        <v>#DIV/0!</v>
      </c>
      <c r="AG43" s="1170" t="e">
        <f t="shared" si="11"/>
        <v>#DIV/0!</v>
      </c>
      <c r="AH43" s="453"/>
      <c r="AI43" s="453"/>
      <c r="AJ43" s="453"/>
      <c r="AK43" s="298"/>
      <c r="AL43" s="464"/>
    </row>
    <row r="44" spans="1:43" s="316" customFormat="1" ht="15.75">
      <c r="A44" s="314"/>
      <c r="B44" s="437" t="str">
        <f>'Development Costs'!C14</f>
        <v>General Requirements</v>
      </c>
      <c r="C44" s="837">
        <f>'Development Costs'!I14</f>
        <v>0</v>
      </c>
      <c r="D44" s="838"/>
      <c r="E44" s="840">
        <f t="shared" ref="E44:V44" si="18">$C$44*E7</f>
        <v>0</v>
      </c>
      <c r="F44" s="840">
        <f t="shared" si="18"/>
        <v>0</v>
      </c>
      <c r="G44" s="840">
        <f t="shared" si="18"/>
        <v>0</v>
      </c>
      <c r="H44" s="840">
        <f t="shared" si="18"/>
        <v>0</v>
      </c>
      <c r="I44" s="840">
        <f t="shared" si="18"/>
        <v>0</v>
      </c>
      <c r="J44" s="840">
        <f t="shared" si="18"/>
        <v>0</v>
      </c>
      <c r="K44" s="840">
        <f t="shared" si="18"/>
        <v>0</v>
      </c>
      <c r="L44" s="840">
        <f t="shared" si="18"/>
        <v>0</v>
      </c>
      <c r="M44" s="840">
        <f t="shared" si="18"/>
        <v>0</v>
      </c>
      <c r="N44" s="840">
        <f t="shared" si="18"/>
        <v>0</v>
      </c>
      <c r="O44" s="840">
        <f t="shared" si="18"/>
        <v>0</v>
      </c>
      <c r="P44" s="840">
        <f t="shared" si="18"/>
        <v>0</v>
      </c>
      <c r="Q44" s="840">
        <f t="shared" si="18"/>
        <v>0</v>
      </c>
      <c r="R44" s="840">
        <f t="shared" si="18"/>
        <v>0</v>
      </c>
      <c r="S44" s="840">
        <f t="shared" si="18"/>
        <v>0</v>
      </c>
      <c r="T44" s="840">
        <f t="shared" si="18"/>
        <v>0</v>
      </c>
      <c r="U44" s="840">
        <f t="shared" si="18"/>
        <v>0</v>
      </c>
      <c r="V44" s="840">
        <f t="shared" si="18"/>
        <v>0</v>
      </c>
      <c r="W44" s="841"/>
      <c r="X44" s="841"/>
      <c r="Y44" s="842"/>
      <c r="Z44" s="843"/>
      <c r="AA44" s="829">
        <f t="shared" si="14"/>
        <v>0</v>
      </c>
      <c r="AB44" s="299" t="str">
        <f t="shared" si="12"/>
        <v>ok</v>
      </c>
      <c r="AD44" s="1175">
        <v>11</v>
      </c>
      <c r="AE44" s="1176" t="e">
        <f t="shared" si="13"/>
        <v>#NUM!</v>
      </c>
      <c r="AF44" s="1214" t="e">
        <f t="shared" si="10"/>
        <v>#DIV/0!</v>
      </c>
      <c r="AG44" s="1170" t="e">
        <f t="shared" si="11"/>
        <v>#DIV/0!</v>
      </c>
      <c r="AH44" s="1185"/>
      <c r="AI44" s="1185"/>
      <c r="AJ44" s="1185"/>
      <c r="AK44" s="1186"/>
      <c r="AL44" s="1187"/>
    </row>
    <row r="45" spans="1:43" ht="15.75">
      <c r="A45" s="300"/>
      <c r="B45" s="437" t="str">
        <f>'Development Costs'!C15</f>
        <v>Contractor Overhead</v>
      </c>
      <c r="C45" s="837">
        <f>'Development Costs'!I15</f>
        <v>0</v>
      </c>
      <c r="D45" s="838"/>
      <c r="E45" s="834">
        <f t="shared" ref="E45:V45" si="19">$C$45*E7</f>
        <v>0</v>
      </c>
      <c r="F45" s="834">
        <f t="shared" si="19"/>
        <v>0</v>
      </c>
      <c r="G45" s="834">
        <f t="shared" si="19"/>
        <v>0</v>
      </c>
      <c r="H45" s="834">
        <f t="shared" si="19"/>
        <v>0</v>
      </c>
      <c r="I45" s="834">
        <f t="shared" si="19"/>
        <v>0</v>
      </c>
      <c r="J45" s="834">
        <f t="shared" si="19"/>
        <v>0</v>
      </c>
      <c r="K45" s="834">
        <f t="shared" si="19"/>
        <v>0</v>
      </c>
      <c r="L45" s="834">
        <f t="shared" si="19"/>
        <v>0</v>
      </c>
      <c r="M45" s="834">
        <f t="shared" si="19"/>
        <v>0</v>
      </c>
      <c r="N45" s="834">
        <f t="shared" si="19"/>
        <v>0</v>
      </c>
      <c r="O45" s="834">
        <f t="shared" si="19"/>
        <v>0</v>
      </c>
      <c r="P45" s="834">
        <f t="shared" si="19"/>
        <v>0</v>
      </c>
      <c r="Q45" s="834">
        <f t="shared" si="19"/>
        <v>0</v>
      </c>
      <c r="R45" s="834">
        <f t="shared" si="19"/>
        <v>0</v>
      </c>
      <c r="S45" s="834">
        <f t="shared" si="19"/>
        <v>0</v>
      </c>
      <c r="T45" s="834">
        <f t="shared" si="19"/>
        <v>0</v>
      </c>
      <c r="U45" s="834">
        <f t="shared" si="19"/>
        <v>0</v>
      </c>
      <c r="V45" s="834">
        <f t="shared" si="19"/>
        <v>0</v>
      </c>
      <c r="W45" s="835"/>
      <c r="X45" s="809"/>
      <c r="Y45" s="835"/>
      <c r="Z45" s="836"/>
      <c r="AA45" s="829">
        <f t="shared" si="14"/>
        <v>0</v>
      </c>
      <c r="AB45" s="299" t="str">
        <f t="shared" si="12"/>
        <v>ok</v>
      </c>
      <c r="AD45" s="1175">
        <v>12</v>
      </c>
      <c r="AE45" s="1176" t="e">
        <f t="shared" si="13"/>
        <v>#NUM!</v>
      </c>
      <c r="AF45" s="1214" t="e">
        <f t="shared" si="10"/>
        <v>#DIV/0!</v>
      </c>
      <c r="AG45" s="1170" t="e">
        <f t="shared" si="11"/>
        <v>#DIV/0!</v>
      </c>
      <c r="AH45" s="453"/>
      <c r="AI45" s="453"/>
      <c r="AJ45" s="453"/>
      <c r="AK45" s="298"/>
      <c r="AL45" s="464"/>
    </row>
    <row r="46" spans="1:43" ht="15.75">
      <c r="A46" s="300"/>
      <c r="B46" s="437" t="str">
        <f>'Development Costs'!C16</f>
        <v>Contractor Profit</v>
      </c>
      <c r="C46" s="837">
        <f>'Development Costs'!I16</f>
        <v>0</v>
      </c>
      <c r="D46" s="838"/>
      <c r="E46" s="834">
        <f t="shared" ref="E46:V46" si="20">$C$46*E7</f>
        <v>0</v>
      </c>
      <c r="F46" s="834">
        <f t="shared" si="20"/>
        <v>0</v>
      </c>
      <c r="G46" s="834">
        <f t="shared" si="20"/>
        <v>0</v>
      </c>
      <c r="H46" s="834">
        <f t="shared" si="20"/>
        <v>0</v>
      </c>
      <c r="I46" s="834">
        <f t="shared" si="20"/>
        <v>0</v>
      </c>
      <c r="J46" s="834">
        <f t="shared" si="20"/>
        <v>0</v>
      </c>
      <c r="K46" s="834">
        <f t="shared" si="20"/>
        <v>0</v>
      </c>
      <c r="L46" s="834">
        <f t="shared" si="20"/>
        <v>0</v>
      </c>
      <c r="M46" s="834">
        <f t="shared" si="20"/>
        <v>0</v>
      </c>
      <c r="N46" s="834">
        <f t="shared" si="20"/>
        <v>0</v>
      </c>
      <c r="O46" s="834">
        <f t="shared" si="20"/>
        <v>0</v>
      </c>
      <c r="P46" s="834">
        <f t="shared" si="20"/>
        <v>0</v>
      </c>
      <c r="Q46" s="834">
        <f t="shared" si="20"/>
        <v>0</v>
      </c>
      <c r="R46" s="834">
        <f t="shared" si="20"/>
        <v>0</v>
      </c>
      <c r="S46" s="834">
        <f t="shared" si="20"/>
        <v>0</v>
      </c>
      <c r="T46" s="834">
        <f t="shared" si="20"/>
        <v>0</v>
      </c>
      <c r="U46" s="834">
        <f t="shared" si="20"/>
        <v>0</v>
      </c>
      <c r="V46" s="834">
        <f t="shared" si="20"/>
        <v>0</v>
      </c>
      <c r="W46" s="835"/>
      <c r="X46" s="809"/>
      <c r="Y46" s="835"/>
      <c r="Z46" s="836"/>
      <c r="AA46" s="829">
        <f t="shared" si="14"/>
        <v>0</v>
      </c>
      <c r="AB46" s="299" t="str">
        <f t="shared" si="12"/>
        <v>ok</v>
      </c>
      <c r="AD46" s="1175">
        <v>13</v>
      </c>
      <c r="AE46" s="1176" t="e">
        <f t="shared" si="13"/>
        <v>#NUM!</v>
      </c>
      <c r="AF46" s="1214" t="e">
        <f t="shared" si="10"/>
        <v>#DIV/0!</v>
      </c>
      <c r="AG46" s="1170" t="e">
        <f t="shared" si="11"/>
        <v>#DIV/0!</v>
      </c>
      <c r="AH46" s="453"/>
      <c r="AI46" s="453"/>
      <c r="AJ46" s="453"/>
      <c r="AK46" s="298"/>
      <c r="AL46" s="464"/>
    </row>
    <row r="47" spans="1:43" ht="15.75">
      <c r="A47" s="300"/>
      <c r="B47" s="437" t="str">
        <f>'Development Costs'!C17</f>
        <v>Contingency</v>
      </c>
      <c r="C47" s="837">
        <f>'Development Costs'!I17</f>
        <v>0</v>
      </c>
      <c r="D47" s="838"/>
      <c r="E47" s="834">
        <f t="shared" ref="E47:V47" si="21">$C$47*E7</f>
        <v>0</v>
      </c>
      <c r="F47" s="834">
        <f t="shared" si="21"/>
        <v>0</v>
      </c>
      <c r="G47" s="834">
        <f t="shared" si="21"/>
        <v>0</v>
      </c>
      <c r="H47" s="834">
        <f t="shared" si="21"/>
        <v>0</v>
      </c>
      <c r="I47" s="834">
        <f t="shared" si="21"/>
        <v>0</v>
      </c>
      <c r="J47" s="834">
        <f t="shared" si="21"/>
        <v>0</v>
      </c>
      <c r="K47" s="834">
        <f t="shared" si="21"/>
        <v>0</v>
      </c>
      <c r="L47" s="834">
        <f t="shared" si="21"/>
        <v>0</v>
      </c>
      <c r="M47" s="834">
        <f t="shared" si="21"/>
        <v>0</v>
      </c>
      <c r="N47" s="834">
        <f t="shared" si="21"/>
        <v>0</v>
      </c>
      <c r="O47" s="834">
        <f t="shared" si="21"/>
        <v>0</v>
      </c>
      <c r="P47" s="834">
        <f t="shared" si="21"/>
        <v>0</v>
      </c>
      <c r="Q47" s="834">
        <f t="shared" si="21"/>
        <v>0</v>
      </c>
      <c r="R47" s="834">
        <f t="shared" si="21"/>
        <v>0</v>
      </c>
      <c r="S47" s="834">
        <f t="shared" si="21"/>
        <v>0</v>
      </c>
      <c r="T47" s="834">
        <f t="shared" si="21"/>
        <v>0</v>
      </c>
      <c r="U47" s="834">
        <f t="shared" si="21"/>
        <v>0</v>
      </c>
      <c r="V47" s="834">
        <f t="shared" si="21"/>
        <v>0</v>
      </c>
      <c r="W47" s="835"/>
      <c r="X47" s="809"/>
      <c r="Y47" s="835"/>
      <c r="Z47" s="836"/>
      <c r="AA47" s="829">
        <f t="shared" si="14"/>
        <v>0</v>
      </c>
      <c r="AB47" s="299" t="str">
        <f t="shared" si="12"/>
        <v>ok</v>
      </c>
      <c r="AD47" s="1175">
        <v>14</v>
      </c>
      <c r="AE47" s="1176" t="e">
        <f t="shared" si="13"/>
        <v>#NUM!</v>
      </c>
      <c r="AF47" s="1215" t="e">
        <f>AF46-W144</f>
        <v>#DIV/0!</v>
      </c>
      <c r="AG47" s="1170" t="e">
        <f t="shared" si="11"/>
        <v>#DIV/0!</v>
      </c>
      <c r="AH47" s="453"/>
      <c r="AI47" s="453"/>
      <c r="AJ47" s="453"/>
      <c r="AK47" s="298"/>
      <c r="AL47" s="464"/>
    </row>
    <row r="48" spans="1:43" ht="15.75">
      <c r="A48" s="300"/>
      <c r="B48" s="437" t="str">
        <f>'Development Costs'!C18</f>
        <v>Builder's Risk Insurance</v>
      </c>
      <c r="C48" s="837">
        <f>'Development Costs'!I18</f>
        <v>0</v>
      </c>
      <c r="D48" s="838">
        <f>C48</f>
        <v>0</v>
      </c>
      <c r="E48" s="834"/>
      <c r="F48" s="834"/>
      <c r="G48" s="834"/>
      <c r="H48" s="834"/>
      <c r="I48" s="834"/>
      <c r="J48" s="834"/>
      <c r="K48" s="834"/>
      <c r="L48" s="834"/>
      <c r="M48" s="834"/>
      <c r="N48" s="834"/>
      <c r="O48" s="834"/>
      <c r="P48" s="834"/>
      <c r="Q48" s="834"/>
      <c r="R48" s="834"/>
      <c r="S48" s="834"/>
      <c r="T48" s="834"/>
      <c r="U48" s="834"/>
      <c r="V48" s="834"/>
      <c r="W48" s="834"/>
      <c r="X48" s="809"/>
      <c r="Y48" s="835"/>
      <c r="Z48" s="836"/>
      <c r="AA48" s="829">
        <f t="shared" si="14"/>
        <v>0</v>
      </c>
      <c r="AB48" s="299" t="str">
        <f t="shared" si="12"/>
        <v>ok</v>
      </c>
      <c r="AD48" s="1175">
        <v>15</v>
      </c>
      <c r="AE48" s="1176" t="e">
        <f t="shared" si="13"/>
        <v>#NUM!</v>
      </c>
      <c r="AF48" s="1215" t="e">
        <f>AF47-X144</f>
        <v>#DIV/0!</v>
      </c>
      <c r="AG48" s="1170" t="e">
        <f t="shared" si="11"/>
        <v>#DIV/0!</v>
      </c>
      <c r="AH48" s="453"/>
      <c r="AI48" s="453"/>
      <c r="AJ48" s="453"/>
      <c r="AK48" s="298"/>
      <c r="AL48" s="464"/>
    </row>
    <row r="49" spans="1:38" ht="15.75">
      <c r="A49" s="300"/>
      <c r="B49" s="437" t="str">
        <f>'Development Costs'!C19</f>
        <v>P&amp;P Bond</v>
      </c>
      <c r="C49" s="837">
        <f>'Development Costs'!I19</f>
        <v>0</v>
      </c>
      <c r="D49" s="838">
        <f>C49</f>
        <v>0</v>
      </c>
      <c r="E49" s="834"/>
      <c r="F49" s="834"/>
      <c r="G49" s="834"/>
      <c r="H49" s="834"/>
      <c r="I49" s="834"/>
      <c r="J49" s="834"/>
      <c r="K49" s="834"/>
      <c r="L49" s="834"/>
      <c r="M49" s="834"/>
      <c r="N49" s="834"/>
      <c r="O49" s="834"/>
      <c r="P49" s="834"/>
      <c r="Q49" s="834"/>
      <c r="R49" s="834"/>
      <c r="S49" s="834"/>
      <c r="T49" s="834"/>
      <c r="U49" s="834"/>
      <c r="V49" s="834"/>
      <c r="W49" s="834"/>
      <c r="X49" s="809"/>
      <c r="Y49" s="835"/>
      <c r="Z49" s="836"/>
      <c r="AA49" s="829">
        <f t="shared" si="14"/>
        <v>0</v>
      </c>
      <c r="AB49" s="299" t="str">
        <f t="shared" si="12"/>
        <v>ok</v>
      </c>
      <c r="AD49" s="1175">
        <v>16</v>
      </c>
      <c r="AE49" s="1176" t="e">
        <f t="shared" si="13"/>
        <v>#NUM!</v>
      </c>
      <c r="AF49" s="1215" t="e">
        <f>AF48</f>
        <v>#DIV/0!</v>
      </c>
      <c r="AG49" s="1170" t="e">
        <f t="shared" si="11"/>
        <v>#DIV/0!</v>
      </c>
      <c r="AH49" s="453"/>
      <c r="AI49" s="453"/>
      <c r="AJ49" s="453"/>
      <c r="AK49" s="298"/>
      <c r="AL49" s="464"/>
    </row>
    <row r="50" spans="1:38" ht="15.75">
      <c r="A50" s="300"/>
      <c r="B50" s="437" t="str">
        <f>'Development Costs'!C20</f>
        <v>Commercial Costs</v>
      </c>
      <c r="C50" s="837">
        <f>'Development Costs'!I20</f>
        <v>0</v>
      </c>
      <c r="D50" s="838"/>
      <c r="E50" s="834">
        <f t="shared" ref="E50:V50" si="22">$C$50*E7</f>
        <v>0</v>
      </c>
      <c r="F50" s="834">
        <f t="shared" si="22"/>
        <v>0</v>
      </c>
      <c r="G50" s="834">
        <f t="shared" si="22"/>
        <v>0</v>
      </c>
      <c r="H50" s="834">
        <f t="shared" si="22"/>
        <v>0</v>
      </c>
      <c r="I50" s="834">
        <f t="shared" si="22"/>
        <v>0</v>
      </c>
      <c r="J50" s="834">
        <f t="shared" si="22"/>
        <v>0</v>
      </c>
      <c r="K50" s="834">
        <f t="shared" si="22"/>
        <v>0</v>
      </c>
      <c r="L50" s="834">
        <f t="shared" si="22"/>
        <v>0</v>
      </c>
      <c r="M50" s="834">
        <f t="shared" si="22"/>
        <v>0</v>
      </c>
      <c r="N50" s="834">
        <f t="shared" si="22"/>
        <v>0</v>
      </c>
      <c r="O50" s="834">
        <f t="shared" si="22"/>
        <v>0</v>
      </c>
      <c r="P50" s="834">
        <f t="shared" si="22"/>
        <v>0</v>
      </c>
      <c r="Q50" s="834">
        <f t="shared" si="22"/>
        <v>0</v>
      </c>
      <c r="R50" s="834">
        <f t="shared" si="22"/>
        <v>0</v>
      </c>
      <c r="S50" s="834">
        <f t="shared" si="22"/>
        <v>0</v>
      </c>
      <c r="T50" s="834">
        <f t="shared" si="22"/>
        <v>0</v>
      </c>
      <c r="U50" s="834">
        <f t="shared" si="22"/>
        <v>0</v>
      </c>
      <c r="V50" s="834">
        <f t="shared" si="22"/>
        <v>0</v>
      </c>
      <c r="W50" s="834"/>
      <c r="X50" s="809"/>
      <c r="Y50" s="835"/>
      <c r="Z50" s="836"/>
      <c r="AA50" s="829">
        <f t="shared" si="14"/>
        <v>0</v>
      </c>
      <c r="AB50" s="299" t="str">
        <f t="shared" si="12"/>
        <v>ok</v>
      </c>
      <c r="AD50" s="1175">
        <v>17</v>
      </c>
      <c r="AE50" s="1176" t="e">
        <f t="shared" si="13"/>
        <v>#NUM!</v>
      </c>
      <c r="AF50" s="1215" t="e">
        <f>AF49</f>
        <v>#DIV/0!</v>
      </c>
      <c r="AG50" s="1170" t="e">
        <f t="shared" si="11"/>
        <v>#DIV/0!</v>
      </c>
      <c r="AH50" s="453"/>
      <c r="AI50" s="453"/>
      <c r="AJ50" s="453"/>
      <c r="AK50" s="298"/>
      <c r="AL50" s="464"/>
    </row>
    <row r="51" spans="1:38" ht="15.75">
      <c r="A51" s="300"/>
      <c r="B51" s="437" t="str">
        <f>'Development Costs'!C21</f>
        <v>Furniture, Fixtures &amp; Equip</v>
      </c>
      <c r="C51" s="837">
        <f>'Development Costs'!I21</f>
        <v>0</v>
      </c>
      <c r="D51" s="838">
        <f>C51</f>
        <v>0</v>
      </c>
      <c r="E51" s="834"/>
      <c r="F51" s="834"/>
      <c r="G51" s="834"/>
      <c r="H51" s="834"/>
      <c r="I51" s="834"/>
      <c r="J51" s="834"/>
      <c r="K51" s="834"/>
      <c r="L51" s="834"/>
      <c r="M51" s="834"/>
      <c r="N51" s="834"/>
      <c r="O51" s="834"/>
      <c r="P51" s="834"/>
      <c r="Q51" s="834"/>
      <c r="R51" s="834"/>
      <c r="S51" s="834"/>
      <c r="T51" s="834"/>
      <c r="U51" s="834"/>
      <c r="V51" s="834"/>
      <c r="W51" s="834"/>
      <c r="X51" s="809"/>
      <c r="Y51" s="835"/>
      <c r="Z51" s="836"/>
      <c r="AA51" s="829">
        <f t="shared" si="14"/>
        <v>0</v>
      </c>
      <c r="AB51" s="299" t="str">
        <f t="shared" si="12"/>
        <v>ok</v>
      </c>
      <c r="AD51" s="1175">
        <v>18</v>
      </c>
      <c r="AE51" s="1176" t="e">
        <f t="shared" si="13"/>
        <v>#NUM!</v>
      </c>
      <c r="AF51" s="1215" t="e">
        <f>AF50-Y144</f>
        <v>#DIV/0!</v>
      </c>
      <c r="AG51" s="1170" t="e">
        <f t="shared" si="11"/>
        <v>#DIV/0!</v>
      </c>
      <c r="AH51" s="453"/>
      <c r="AI51" s="453"/>
      <c r="AJ51" s="453"/>
      <c r="AK51" s="298"/>
      <c r="AL51" s="464"/>
    </row>
    <row r="52" spans="1:38" ht="15.75">
      <c r="A52" s="300"/>
      <c r="B52" s="437" t="str">
        <f>'Development Costs'!C22</f>
        <v>Tap Fees / Impact Fees</v>
      </c>
      <c r="C52" s="837">
        <f>'Development Costs'!I22</f>
        <v>0</v>
      </c>
      <c r="D52" s="838">
        <f>C52</f>
        <v>0</v>
      </c>
      <c r="E52" s="834"/>
      <c r="F52" s="834"/>
      <c r="G52" s="834"/>
      <c r="H52" s="834"/>
      <c r="I52" s="834"/>
      <c r="J52" s="834"/>
      <c r="K52" s="834"/>
      <c r="L52" s="834"/>
      <c r="M52" s="834"/>
      <c r="N52" s="834"/>
      <c r="O52" s="834"/>
      <c r="P52" s="834"/>
      <c r="Q52" s="834"/>
      <c r="R52" s="834"/>
      <c r="S52" s="834"/>
      <c r="T52" s="834"/>
      <c r="U52" s="834"/>
      <c r="V52" s="834"/>
      <c r="W52" s="834"/>
      <c r="X52" s="809"/>
      <c r="Y52" s="835"/>
      <c r="Z52" s="836"/>
      <c r="AA52" s="829">
        <f t="shared" si="14"/>
        <v>0</v>
      </c>
      <c r="AB52" s="299" t="str">
        <f t="shared" si="12"/>
        <v>ok</v>
      </c>
      <c r="AD52" s="1175">
        <v>19</v>
      </c>
      <c r="AE52" s="1176" t="e">
        <f t="shared" si="13"/>
        <v>#NUM!</v>
      </c>
      <c r="AF52" s="1215">
        <f t="shared" ref="AF52:AF57" si="23">IF(AD52&gt;$Y$7,0,IF(AD52=$Y$7,AF51-$X$144,IF(AD52=$X$7,AF51-$W$144,AF51)))</f>
        <v>0</v>
      </c>
      <c r="AG52" s="1170">
        <f t="shared" si="11"/>
        <v>0</v>
      </c>
      <c r="AH52" s="453"/>
      <c r="AI52" s="453"/>
      <c r="AJ52" s="453"/>
      <c r="AK52" s="298"/>
      <c r="AL52" s="464"/>
    </row>
    <row r="53" spans="1:38" ht="15.75">
      <c r="A53" s="300"/>
      <c r="B53" s="437" t="str">
        <f>'Development Costs'!C23</f>
        <v>Building Permits</v>
      </c>
      <c r="C53" s="837">
        <f>'Development Costs'!I23</f>
        <v>0</v>
      </c>
      <c r="D53" s="838">
        <f>C53</f>
        <v>0</v>
      </c>
      <c r="E53" s="834"/>
      <c r="F53" s="834"/>
      <c r="G53" s="834"/>
      <c r="H53" s="834"/>
      <c r="I53" s="834"/>
      <c r="J53" s="834"/>
      <c r="K53" s="834"/>
      <c r="L53" s="834"/>
      <c r="M53" s="834"/>
      <c r="N53" s="834"/>
      <c r="O53" s="834"/>
      <c r="P53" s="834"/>
      <c r="Q53" s="834"/>
      <c r="R53" s="834"/>
      <c r="S53" s="834"/>
      <c r="T53" s="834"/>
      <c r="U53" s="834"/>
      <c r="V53" s="834"/>
      <c r="W53" s="834"/>
      <c r="X53" s="809"/>
      <c r="Y53" s="835"/>
      <c r="Z53" s="836"/>
      <c r="AA53" s="829">
        <f t="shared" si="14"/>
        <v>0</v>
      </c>
      <c r="AB53" s="299" t="str">
        <f t="shared" si="12"/>
        <v>ok</v>
      </c>
      <c r="AD53" s="1175">
        <v>20</v>
      </c>
      <c r="AE53" s="1176" t="e">
        <f t="shared" si="13"/>
        <v>#NUM!</v>
      </c>
      <c r="AF53" s="1215">
        <f t="shared" si="23"/>
        <v>0</v>
      </c>
      <c r="AG53" s="1170">
        <f t="shared" si="11"/>
        <v>0</v>
      </c>
      <c r="AH53" s="453"/>
      <c r="AI53" s="453"/>
      <c r="AJ53" s="453"/>
      <c r="AK53" s="298"/>
      <c r="AL53" s="464"/>
    </row>
    <row r="54" spans="1:38" ht="15.75">
      <c r="A54" s="300"/>
      <c r="B54" s="437" t="str">
        <f>'Development Costs'!C24</f>
        <v>Security During Construction</v>
      </c>
      <c r="C54" s="837">
        <f>'Development Costs'!I24</f>
        <v>0</v>
      </c>
      <c r="D54" s="838"/>
      <c r="E54" s="834">
        <f t="shared" ref="E54:V54" si="24">$C$54*E7</f>
        <v>0</v>
      </c>
      <c r="F54" s="834">
        <f t="shared" si="24"/>
        <v>0</v>
      </c>
      <c r="G54" s="834">
        <f t="shared" si="24"/>
        <v>0</v>
      </c>
      <c r="H54" s="834">
        <f t="shared" si="24"/>
        <v>0</v>
      </c>
      <c r="I54" s="834">
        <f t="shared" si="24"/>
        <v>0</v>
      </c>
      <c r="J54" s="834">
        <f t="shared" si="24"/>
        <v>0</v>
      </c>
      <c r="K54" s="834">
        <f t="shared" si="24"/>
        <v>0</v>
      </c>
      <c r="L54" s="834">
        <f t="shared" si="24"/>
        <v>0</v>
      </c>
      <c r="M54" s="834">
        <f t="shared" si="24"/>
        <v>0</v>
      </c>
      <c r="N54" s="834">
        <f t="shared" si="24"/>
        <v>0</v>
      </c>
      <c r="O54" s="834">
        <f t="shared" si="24"/>
        <v>0</v>
      </c>
      <c r="P54" s="834">
        <f t="shared" si="24"/>
        <v>0</v>
      </c>
      <c r="Q54" s="834">
        <f t="shared" si="24"/>
        <v>0</v>
      </c>
      <c r="R54" s="834">
        <f t="shared" si="24"/>
        <v>0</v>
      </c>
      <c r="S54" s="834">
        <f t="shared" si="24"/>
        <v>0</v>
      </c>
      <c r="T54" s="834">
        <f t="shared" si="24"/>
        <v>0</v>
      </c>
      <c r="U54" s="834">
        <f t="shared" si="24"/>
        <v>0</v>
      </c>
      <c r="V54" s="834">
        <f t="shared" si="24"/>
        <v>0</v>
      </c>
      <c r="W54" s="834"/>
      <c r="X54" s="809"/>
      <c r="Y54" s="835"/>
      <c r="Z54" s="836"/>
      <c r="AA54" s="829">
        <f t="shared" si="14"/>
        <v>0</v>
      </c>
      <c r="AB54" s="299" t="str">
        <f t="shared" si="12"/>
        <v>ok</v>
      </c>
      <c r="AD54" s="1175">
        <v>21</v>
      </c>
      <c r="AE54" s="1176" t="e">
        <f t="shared" si="13"/>
        <v>#NUM!</v>
      </c>
      <c r="AF54" s="1215">
        <f t="shared" si="23"/>
        <v>0</v>
      </c>
      <c r="AG54" s="1170">
        <f t="shared" si="11"/>
        <v>0</v>
      </c>
      <c r="AH54" s="453"/>
      <c r="AI54" s="453"/>
      <c r="AJ54" s="453"/>
      <c r="AK54" s="298"/>
      <c r="AL54" s="464"/>
    </row>
    <row r="55" spans="1:38" ht="15.75">
      <c r="A55" s="300"/>
      <c r="B55" s="437" t="str">
        <f>'Development Costs'!C25</f>
        <v>Other Construction Costs</v>
      </c>
      <c r="C55" s="837">
        <f>'Development Costs'!I25</f>
        <v>0</v>
      </c>
      <c r="D55" s="844"/>
      <c r="E55" s="839"/>
      <c r="F55" s="839"/>
      <c r="G55" s="839"/>
      <c r="H55" s="839"/>
      <c r="I55" s="839"/>
      <c r="J55" s="839"/>
      <c r="K55" s="839"/>
      <c r="L55" s="839"/>
      <c r="M55" s="839"/>
      <c r="N55" s="839"/>
      <c r="O55" s="839"/>
      <c r="P55" s="839"/>
      <c r="Q55" s="839"/>
      <c r="R55" s="839"/>
      <c r="S55" s="839"/>
      <c r="T55" s="839"/>
      <c r="U55" s="839"/>
      <c r="V55" s="839"/>
      <c r="W55" s="834"/>
      <c r="X55" s="809"/>
      <c r="Y55" s="835"/>
      <c r="Z55" s="836"/>
      <c r="AA55" s="829">
        <f t="shared" si="14"/>
        <v>0</v>
      </c>
      <c r="AB55" s="299" t="str">
        <f t="shared" si="12"/>
        <v>ok</v>
      </c>
      <c r="AD55" s="1175">
        <v>22</v>
      </c>
      <c r="AE55" s="1176" t="e">
        <f t="shared" si="13"/>
        <v>#NUM!</v>
      </c>
      <c r="AF55" s="1215">
        <f t="shared" si="23"/>
        <v>0</v>
      </c>
      <c r="AG55" s="1170">
        <f t="shared" si="11"/>
        <v>0</v>
      </c>
      <c r="AH55" s="453"/>
      <c r="AI55" s="453"/>
      <c r="AJ55" s="453"/>
      <c r="AK55" s="298"/>
      <c r="AL55" s="464"/>
    </row>
    <row r="56" spans="1:38" ht="15.75">
      <c r="A56" s="300"/>
      <c r="B56" s="326"/>
      <c r="C56" s="828"/>
      <c r="D56" s="838"/>
      <c r="E56" s="834"/>
      <c r="F56" s="834"/>
      <c r="G56" s="834"/>
      <c r="H56" s="834"/>
      <c r="I56" s="834"/>
      <c r="J56" s="834"/>
      <c r="K56" s="834"/>
      <c r="L56" s="834"/>
      <c r="M56" s="834"/>
      <c r="N56" s="834"/>
      <c r="O56" s="834"/>
      <c r="P56" s="834"/>
      <c r="Q56" s="834"/>
      <c r="R56" s="834"/>
      <c r="S56" s="834"/>
      <c r="T56" s="834"/>
      <c r="U56" s="834"/>
      <c r="V56" s="834"/>
      <c r="W56" s="834"/>
      <c r="X56" s="809"/>
      <c r="Y56" s="835"/>
      <c r="Z56" s="836"/>
      <c r="AA56" s="829"/>
      <c r="AB56" s="299"/>
      <c r="AD56" s="1175">
        <v>23</v>
      </c>
      <c r="AE56" s="1176" t="e">
        <f t="shared" si="13"/>
        <v>#NUM!</v>
      </c>
      <c r="AF56" s="1215">
        <f t="shared" si="23"/>
        <v>0</v>
      </c>
      <c r="AG56" s="1170">
        <f t="shared" si="11"/>
        <v>0</v>
      </c>
      <c r="AH56" s="453"/>
      <c r="AI56" s="453"/>
      <c r="AJ56" s="453"/>
      <c r="AK56" s="298"/>
      <c r="AL56" s="464"/>
    </row>
    <row r="57" spans="1:38" ht="15.75">
      <c r="A57" s="300"/>
      <c r="B57" s="438" t="str">
        <f>'Development Costs'!A28</f>
        <v>DD/3rd Party Fees &amp; Costs</v>
      </c>
      <c r="C57" s="828"/>
      <c r="D57" s="838"/>
      <c r="E57" s="834"/>
      <c r="F57" s="834"/>
      <c r="G57" s="834"/>
      <c r="H57" s="834"/>
      <c r="I57" s="834"/>
      <c r="J57" s="834"/>
      <c r="K57" s="834"/>
      <c r="L57" s="834"/>
      <c r="M57" s="834"/>
      <c r="N57" s="834"/>
      <c r="O57" s="834"/>
      <c r="P57" s="834"/>
      <c r="Q57" s="834"/>
      <c r="R57" s="834"/>
      <c r="S57" s="834"/>
      <c r="T57" s="834"/>
      <c r="U57" s="834"/>
      <c r="V57" s="834"/>
      <c r="W57" s="834"/>
      <c r="X57" s="809"/>
      <c r="Y57" s="835"/>
      <c r="Z57" s="836"/>
      <c r="AA57" s="829"/>
      <c r="AB57" s="299"/>
      <c r="AD57" s="1175">
        <v>24</v>
      </c>
      <c r="AE57" s="1176" t="e">
        <f t="shared" si="13"/>
        <v>#NUM!</v>
      </c>
      <c r="AF57" s="1215">
        <f t="shared" si="23"/>
        <v>0</v>
      </c>
      <c r="AG57" s="1182">
        <f t="shared" si="11"/>
        <v>0</v>
      </c>
      <c r="AH57" s="453"/>
      <c r="AI57" s="453"/>
      <c r="AJ57" s="453"/>
      <c r="AK57" s="298"/>
      <c r="AL57" s="464"/>
    </row>
    <row r="58" spans="1:38" ht="16.5" thickBot="1">
      <c r="A58" s="300"/>
      <c r="B58" s="437" t="str">
        <f>'Development Costs'!C29</f>
        <v>Architect - Design &amp; Inspection</v>
      </c>
      <c r="C58" s="828">
        <f>'Development Costs'!I29</f>
        <v>0</v>
      </c>
      <c r="D58" s="838">
        <f>C58</f>
        <v>0</v>
      </c>
      <c r="E58" s="834"/>
      <c r="F58" s="834"/>
      <c r="G58" s="834"/>
      <c r="H58" s="834"/>
      <c r="I58" s="834"/>
      <c r="J58" s="834"/>
      <c r="K58" s="834"/>
      <c r="L58" s="834"/>
      <c r="M58" s="834"/>
      <c r="N58" s="834"/>
      <c r="O58" s="834"/>
      <c r="P58" s="834"/>
      <c r="Q58" s="834"/>
      <c r="R58" s="834"/>
      <c r="S58" s="834"/>
      <c r="T58" s="834"/>
      <c r="U58" s="834"/>
      <c r="V58" s="834"/>
      <c r="W58" s="834"/>
      <c r="X58" s="809"/>
      <c r="Y58" s="835"/>
      <c r="Z58" s="836"/>
      <c r="AA58" s="829">
        <f t="shared" si="14"/>
        <v>0</v>
      </c>
      <c r="AB58" s="299" t="str">
        <f t="shared" si="12"/>
        <v>ok</v>
      </c>
      <c r="AD58" s="466"/>
      <c r="AE58" s="467"/>
      <c r="AF58" s="1179"/>
      <c r="AG58" s="1188" t="e">
        <f>ROUND(SUM(AG34:AG57),-1)</f>
        <v>#DIV/0!</v>
      </c>
      <c r="AH58" s="468"/>
      <c r="AI58" s="468"/>
      <c r="AJ58" s="468"/>
      <c r="AK58" s="467"/>
      <c r="AL58" s="469"/>
    </row>
    <row r="59" spans="1:38" ht="15.75">
      <c r="A59" s="300"/>
      <c r="B59" s="437" t="str">
        <f>'Development Costs'!C30</f>
        <v>Architect - Other</v>
      </c>
      <c r="C59" s="828">
        <f>'Development Costs'!I30</f>
        <v>0</v>
      </c>
      <c r="D59" s="838">
        <f t="shared" ref="D59:D78" si="25">C59</f>
        <v>0</v>
      </c>
      <c r="E59" s="834"/>
      <c r="F59" s="834"/>
      <c r="G59" s="834"/>
      <c r="H59" s="834"/>
      <c r="I59" s="834"/>
      <c r="J59" s="834"/>
      <c r="K59" s="834"/>
      <c r="L59" s="834"/>
      <c r="M59" s="834"/>
      <c r="N59" s="834"/>
      <c r="O59" s="834"/>
      <c r="P59" s="834"/>
      <c r="Q59" s="834"/>
      <c r="R59" s="834"/>
      <c r="S59" s="834"/>
      <c r="T59" s="834"/>
      <c r="U59" s="834"/>
      <c r="V59" s="834"/>
      <c r="W59" s="834"/>
      <c r="X59" s="809"/>
      <c r="Y59" s="835"/>
      <c r="Z59" s="836"/>
      <c r="AA59" s="829">
        <f t="shared" si="14"/>
        <v>0</v>
      </c>
      <c r="AB59" s="299" t="str">
        <f t="shared" si="12"/>
        <v>ok</v>
      </c>
      <c r="AD59" s="298"/>
      <c r="AE59" s="298"/>
      <c r="AF59" s="1178"/>
      <c r="AG59" s="453"/>
      <c r="AH59" s="453"/>
      <c r="AI59" s="453"/>
      <c r="AJ59" s="453"/>
      <c r="AK59" s="298"/>
      <c r="AL59" s="298"/>
    </row>
    <row r="60" spans="1:38" ht="15.75">
      <c r="A60" s="300"/>
      <c r="B60" s="437" t="str">
        <f>'Development Costs'!C31</f>
        <v>Civil Engineering</v>
      </c>
      <c r="C60" s="828">
        <f>'Development Costs'!I31</f>
        <v>0</v>
      </c>
      <c r="D60" s="838">
        <f t="shared" si="25"/>
        <v>0</v>
      </c>
      <c r="E60" s="834"/>
      <c r="F60" s="834"/>
      <c r="G60" s="834"/>
      <c r="H60" s="834"/>
      <c r="I60" s="834"/>
      <c r="J60" s="834"/>
      <c r="K60" s="834"/>
      <c r="L60" s="834"/>
      <c r="M60" s="834"/>
      <c r="N60" s="834"/>
      <c r="O60" s="834"/>
      <c r="P60" s="834"/>
      <c r="Q60" s="834"/>
      <c r="R60" s="834"/>
      <c r="S60" s="834"/>
      <c r="T60" s="834"/>
      <c r="U60" s="834"/>
      <c r="V60" s="834"/>
      <c r="W60" s="834"/>
      <c r="X60" s="809"/>
      <c r="Y60" s="835"/>
      <c r="Z60" s="836"/>
      <c r="AA60" s="829">
        <f t="shared" si="14"/>
        <v>0</v>
      </c>
      <c r="AB60" s="299" t="str">
        <f t="shared" si="12"/>
        <v>ok</v>
      </c>
      <c r="AD60" s="298"/>
      <c r="AE60" s="298"/>
      <c r="AF60" s="455"/>
      <c r="AG60" s="453"/>
      <c r="AH60" s="453"/>
      <c r="AI60" s="453"/>
      <c r="AJ60" s="453"/>
      <c r="AK60" s="298"/>
      <c r="AL60" s="298"/>
    </row>
    <row r="61" spans="1:38" ht="15.75">
      <c r="A61" s="300"/>
      <c r="B61" s="437" t="str">
        <f>'Development Costs'!C32</f>
        <v>3rd Party Arch and Cost Review</v>
      </c>
      <c r="C61" s="828">
        <f>'Development Costs'!I32</f>
        <v>0</v>
      </c>
      <c r="D61" s="838">
        <f t="shared" si="25"/>
        <v>0</v>
      </c>
      <c r="E61" s="834"/>
      <c r="F61" s="834"/>
      <c r="G61" s="834"/>
      <c r="H61" s="834"/>
      <c r="I61" s="834"/>
      <c r="J61" s="834"/>
      <c r="K61" s="834"/>
      <c r="L61" s="834"/>
      <c r="M61" s="834"/>
      <c r="N61" s="834"/>
      <c r="O61" s="834"/>
      <c r="P61" s="834"/>
      <c r="Q61" s="834"/>
      <c r="R61" s="834"/>
      <c r="S61" s="834"/>
      <c r="T61" s="834"/>
      <c r="U61" s="834"/>
      <c r="V61" s="834"/>
      <c r="W61" s="834"/>
      <c r="X61" s="809"/>
      <c r="Y61" s="835"/>
      <c r="Z61" s="836"/>
      <c r="AA61" s="829">
        <f t="shared" si="14"/>
        <v>0</v>
      </c>
      <c r="AB61" s="299" t="str">
        <f t="shared" si="12"/>
        <v>ok</v>
      </c>
      <c r="AD61" s="298"/>
      <c r="AE61" s="298"/>
      <c r="AF61" s="455"/>
      <c r="AG61" s="453"/>
      <c r="AH61" s="453"/>
      <c r="AI61" s="453"/>
      <c r="AJ61" s="453"/>
      <c r="AK61" s="298"/>
      <c r="AL61" s="298"/>
    </row>
    <row r="62" spans="1:38" ht="15.75">
      <c r="A62" s="300"/>
      <c r="B62" s="437" t="str">
        <f>'Development Costs'!C33</f>
        <v>PCNA</v>
      </c>
      <c r="C62" s="828">
        <f>'Development Costs'!I33</f>
        <v>0</v>
      </c>
      <c r="D62" s="838">
        <f t="shared" si="25"/>
        <v>0</v>
      </c>
      <c r="E62" s="834"/>
      <c r="F62" s="834"/>
      <c r="G62" s="834"/>
      <c r="H62" s="834"/>
      <c r="I62" s="834"/>
      <c r="J62" s="834"/>
      <c r="K62" s="834"/>
      <c r="L62" s="834"/>
      <c r="M62" s="834"/>
      <c r="N62" s="834"/>
      <c r="O62" s="834"/>
      <c r="P62" s="834"/>
      <c r="Q62" s="834"/>
      <c r="R62" s="834"/>
      <c r="S62" s="834"/>
      <c r="T62" s="834"/>
      <c r="U62" s="834"/>
      <c r="V62" s="834"/>
      <c r="W62" s="834"/>
      <c r="X62" s="810"/>
      <c r="Y62" s="835"/>
      <c r="Z62" s="836"/>
      <c r="AA62" s="829">
        <f t="shared" si="14"/>
        <v>0</v>
      </c>
      <c r="AB62" s="299" t="str">
        <f t="shared" si="12"/>
        <v>ok</v>
      </c>
      <c r="AD62" s="298"/>
      <c r="AE62" s="298"/>
      <c r="AF62" s="455"/>
      <c r="AG62" s="453"/>
      <c r="AH62" s="453"/>
      <c r="AI62" s="453"/>
      <c r="AJ62" s="453"/>
      <c r="AK62" s="298"/>
      <c r="AL62" s="298"/>
    </row>
    <row r="63" spans="1:38" ht="15.75">
      <c r="A63" s="300"/>
      <c r="B63" s="437" t="str">
        <f>'Development Costs'!C34</f>
        <v>Appraisal</v>
      </c>
      <c r="C63" s="828">
        <f>'Development Costs'!I34</f>
        <v>0</v>
      </c>
      <c r="D63" s="838">
        <f t="shared" si="25"/>
        <v>0</v>
      </c>
      <c r="E63" s="835"/>
      <c r="F63" s="835"/>
      <c r="G63" s="835"/>
      <c r="H63" s="834"/>
      <c r="I63" s="835"/>
      <c r="J63" s="835"/>
      <c r="K63" s="835"/>
      <c r="L63" s="835"/>
      <c r="M63" s="835"/>
      <c r="N63" s="835"/>
      <c r="O63" s="835"/>
      <c r="P63" s="835"/>
      <c r="Q63" s="835"/>
      <c r="R63" s="835"/>
      <c r="S63" s="835"/>
      <c r="T63" s="835"/>
      <c r="U63" s="835"/>
      <c r="V63" s="835"/>
      <c r="W63" s="835"/>
      <c r="X63" s="809"/>
      <c r="Y63" s="835"/>
      <c r="Z63" s="836"/>
      <c r="AA63" s="829">
        <f t="shared" si="14"/>
        <v>0</v>
      </c>
      <c r="AB63" s="299" t="str">
        <f t="shared" si="12"/>
        <v>ok</v>
      </c>
      <c r="AD63" s="298"/>
      <c r="AE63" s="298"/>
      <c r="AF63" s="455"/>
      <c r="AG63" s="453"/>
      <c r="AH63" s="453"/>
      <c r="AI63" s="453"/>
      <c r="AJ63" s="453"/>
      <c r="AK63" s="298"/>
      <c r="AL63" s="298"/>
    </row>
    <row r="64" spans="1:38" ht="15.75">
      <c r="A64" s="300"/>
      <c r="B64" s="437" t="str">
        <f>'Development Costs'!C35</f>
        <v>Market Study</v>
      </c>
      <c r="C64" s="828">
        <f>'Development Costs'!I35</f>
        <v>0</v>
      </c>
      <c r="D64" s="838">
        <f t="shared" si="25"/>
        <v>0</v>
      </c>
      <c r="E64" s="835"/>
      <c r="F64" s="835"/>
      <c r="G64" s="835"/>
      <c r="H64" s="835"/>
      <c r="I64" s="835"/>
      <c r="J64" s="835"/>
      <c r="K64" s="835"/>
      <c r="L64" s="835"/>
      <c r="M64" s="835"/>
      <c r="N64" s="835"/>
      <c r="O64" s="835"/>
      <c r="P64" s="835"/>
      <c r="Q64" s="835"/>
      <c r="R64" s="835"/>
      <c r="S64" s="835"/>
      <c r="T64" s="835"/>
      <c r="U64" s="835"/>
      <c r="V64" s="835"/>
      <c r="W64" s="835"/>
      <c r="X64" s="809"/>
      <c r="Y64" s="835"/>
      <c r="Z64" s="836"/>
      <c r="AA64" s="829">
        <f t="shared" si="14"/>
        <v>0</v>
      </c>
      <c r="AB64" s="299" t="str">
        <f t="shared" si="12"/>
        <v>ok</v>
      </c>
      <c r="AD64" s="298"/>
      <c r="AE64" s="298"/>
      <c r="AF64" s="455"/>
      <c r="AG64" s="453"/>
      <c r="AH64" s="453"/>
      <c r="AI64" s="453"/>
      <c r="AJ64" s="453"/>
      <c r="AK64" s="298"/>
      <c r="AL64" s="298"/>
    </row>
    <row r="65" spans="1:38" ht="15.75">
      <c r="A65" s="300"/>
      <c r="B65" s="437" t="str">
        <f>'Development Costs'!C36</f>
        <v>Rent Comp. Study</v>
      </c>
      <c r="C65" s="828">
        <f>'Development Costs'!I36</f>
        <v>0</v>
      </c>
      <c r="D65" s="838">
        <f t="shared" si="25"/>
        <v>0</v>
      </c>
      <c r="E65" s="835"/>
      <c r="F65" s="835"/>
      <c r="G65" s="835"/>
      <c r="H65" s="835"/>
      <c r="I65" s="835"/>
      <c r="J65" s="835"/>
      <c r="K65" s="835"/>
      <c r="L65" s="835"/>
      <c r="M65" s="835"/>
      <c r="N65" s="835"/>
      <c r="O65" s="835"/>
      <c r="P65" s="835"/>
      <c r="Q65" s="835"/>
      <c r="R65" s="835"/>
      <c r="S65" s="835"/>
      <c r="T65" s="835"/>
      <c r="U65" s="835"/>
      <c r="V65" s="835"/>
      <c r="W65" s="835"/>
      <c r="X65" s="809"/>
      <c r="Y65" s="835"/>
      <c r="Z65" s="836"/>
      <c r="AA65" s="829">
        <f t="shared" si="14"/>
        <v>0</v>
      </c>
      <c r="AB65" s="299" t="str">
        <f t="shared" si="12"/>
        <v>ok</v>
      </c>
      <c r="AD65" s="298"/>
      <c r="AE65" s="298"/>
      <c r="AF65" s="455"/>
      <c r="AG65" s="453"/>
      <c r="AH65" s="453"/>
      <c r="AI65" s="453"/>
      <c r="AJ65" s="453"/>
      <c r="AK65" s="298"/>
      <c r="AL65" s="298"/>
    </row>
    <row r="66" spans="1:38" ht="15.75">
      <c r="A66" s="300"/>
      <c r="B66" s="437" t="str">
        <f>'Development Costs'!C37</f>
        <v>ALTA Survey</v>
      </c>
      <c r="C66" s="828">
        <f>'Development Costs'!I37</f>
        <v>0</v>
      </c>
      <c r="D66" s="838">
        <f t="shared" si="25"/>
        <v>0</v>
      </c>
      <c r="E66" s="835"/>
      <c r="F66" s="835"/>
      <c r="G66" s="835"/>
      <c r="H66" s="835"/>
      <c r="I66" s="835"/>
      <c r="J66" s="835"/>
      <c r="K66" s="835"/>
      <c r="L66" s="835"/>
      <c r="M66" s="835"/>
      <c r="N66" s="835"/>
      <c r="O66" s="835"/>
      <c r="P66" s="835"/>
      <c r="Q66" s="835"/>
      <c r="R66" s="835"/>
      <c r="S66" s="835"/>
      <c r="T66" s="835"/>
      <c r="U66" s="835"/>
      <c r="V66" s="835"/>
      <c r="W66" s="835"/>
      <c r="X66" s="835"/>
      <c r="Y66" s="835"/>
      <c r="Z66" s="836"/>
      <c r="AA66" s="829">
        <f t="shared" si="14"/>
        <v>0</v>
      </c>
      <c r="AB66" s="299" t="str">
        <f t="shared" si="12"/>
        <v>ok</v>
      </c>
      <c r="AD66" s="298"/>
      <c r="AE66" s="298"/>
      <c r="AF66" s="455"/>
      <c r="AG66" s="453"/>
      <c r="AH66" s="453"/>
      <c r="AI66" s="453"/>
      <c r="AJ66" s="453"/>
      <c r="AK66" s="298"/>
      <c r="AL66" s="298"/>
    </row>
    <row r="67" spans="1:38" ht="15.75">
      <c r="A67" s="300"/>
      <c r="B67" s="437" t="str">
        <f>'Development Costs'!C38</f>
        <v>Environmental (Phase I/II)</v>
      </c>
      <c r="C67" s="828">
        <f>'Development Costs'!I38</f>
        <v>0</v>
      </c>
      <c r="D67" s="838">
        <f t="shared" si="25"/>
        <v>0</v>
      </c>
      <c r="E67" s="835"/>
      <c r="F67" s="835"/>
      <c r="G67" s="835"/>
      <c r="H67" s="835"/>
      <c r="I67" s="835"/>
      <c r="J67" s="835"/>
      <c r="K67" s="835"/>
      <c r="L67" s="835"/>
      <c r="M67" s="835"/>
      <c r="N67" s="835"/>
      <c r="O67" s="835"/>
      <c r="P67" s="835"/>
      <c r="Q67" s="835"/>
      <c r="R67" s="835"/>
      <c r="S67" s="835"/>
      <c r="T67" s="835"/>
      <c r="U67" s="835"/>
      <c r="V67" s="835"/>
      <c r="W67" s="835"/>
      <c r="X67" s="809"/>
      <c r="Y67" s="835"/>
      <c r="Z67" s="836"/>
      <c r="AA67" s="829">
        <f t="shared" si="14"/>
        <v>0</v>
      </c>
      <c r="AB67" s="299" t="str">
        <f t="shared" si="12"/>
        <v>ok</v>
      </c>
      <c r="AD67" s="298"/>
      <c r="AE67" s="298"/>
      <c r="AF67" s="307"/>
      <c r="AG67" s="453"/>
      <c r="AH67" s="453"/>
      <c r="AI67" s="453"/>
      <c r="AJ67" s="453"/>
      <c r="AK67" s="298"/>
      <c r="AL67" s="298"/>
    </row>
    <row r="68" spans="1:38" ht="15.75">
      <c r="A68" s="300"/>
      <c r="B68" s="437" t="str">
        <f>'Development Costs'!C39</f>
        <v>Add'l Studies (Noise/Radon/Other)</v>
      </c>
      <c r="C68" s="828">
        <f>'Development Costs'!I39</f>
        <v>0</v>
      </c>
      <c r="D68" s="838">
        <f t="shared" si="25"/>
        <v>0</v>
      </c>
      <c r="E68" s="835"/>
      <c r="F68" s="835"/>
      <c r="G68" s="835"/>
      <c r="H68" s="835"/>
      <c r="I68" s="835"/>
      <c r="J68" s="835"/>
      <c r="K68" s="835"/>
      <c r="L68" s="835"/>
      <c r="M68" s="835"/>
      <c r="N68" s="835"/>
      <c r="O68" s="835"/>
      <c r="P68" s="835"/>
      <c r="Q68" s="835"/>
      <c r="R68" s="835"/>
      <c r="S68" s="835"/>
      <c r="T68" s="835"/>
      <c r="U68" s="835"/>
      <c r="V68" s="835"/>
      <c r="W68" s="835"/>
      <c r="X68" s="809"/>
      <c r="Y68" s="835"/>
      <c r="Z68" s="836"/>
      <c r="AA68" s="829">
        <f t="shared" si="14"/>
        <v>0</v>
      </c>
      <c r="AB68" s="299" t="str">
        <f t="shared" si="12"/>
        <v>ok</v>
      </c>
      <c r="AD68" s="298"/>
      <c r="AE68" s="298"/>
      <c r="AF68" s="455"/>
      <c r="AG68" s="453"/>
      <c r="AH68" s="453"/>
      <c r="AI68" s="453"/>
      <c r="AJ68" s="453"/>
      <c r="AK68" s="298"/>
      <c r="AL68" s="298"/>
    </row>
    <row r="69" spans="1:38" ht="15.75">
      <c r="A69" s="300"/>
      <c r="B69" s="437" t="str">
        <f>'Development Costs'!C40</f>
        <v>Environmental Mitigation</v>
      </c>
      <c r="C69" s="828">
        <f>'Development Costs'!I40</f>
        <v>0</v>
      </c>
      <c r="D69" s="844"/>
      <c r="E69" s="845"/>
      <c r="F69" s="845"/>
      <c r="G69" s="845"/>
      <c r="H69" s="845"/>
      <c r="I69" s="845"/>
      <c r="J69" s="845"/>
      <c r="K69" s="845"/>
      <c r="L69" s="845"/>
      <c r="M69" s="845"/>
      <c r="N69" s="845"/>
      <c r="O69" s="845"/>
      <c r="P69" s="845"/>
      <c r="Q69" s="845"/>
      <c r="R69" s="845"/>
      <c r="S69" s="845"/>
      <c r="T69" s="845"/>
      <c r="U69" s="845"/>
      <c r="V69" s="845"/>
      <c r="W69" s="835"/>
      <c r="X69" s="809"/>
      <c r="Y69" s="835"/>
      <c r="Z69" s="836"/>
      <c r="AA69" s="829">
        <f t="shared" si="14"/>
        <v>0</v>
      </c>
      <c r="AB69" s="299" t="str">
        <f t="shared" si="12"/>
        <v>ok</v>
      </c>
      <c r="AD69" s="298"/>
      <c r="AE69" s="298"/>
      <c r="AF69" s="307"/>
      <c r="AG69" s="453"/>
      <c r="AH69" s="453"/>
      <c r="AI69" s="453"/>
      <c r="AJ69" s="453"/>
      <c r="AK69" s="298"/>
      <c r="AL69" s="298"/>
    </row>
    <row r="70" spans="1:38" ht="15.75">
      <c r="A70" s="300"/>
      <c r="B70" s="437" t="str">
        <f>'Development Costs'!C41</f>
        <v>Geotech/Soil Studies</v>
      </c>
      <c r="C70" s="828">
        <f>'Development Costs'!I41</f>
        <v>0</v>
      </c>
      <c r="D70" s="838">
        <f>C70</f>
        <v>0</v>
      </c>
      <c r="E70" s="835"/>
      <c r="F70" s="835"/>
      <c r="G70" s="835"/>
      <c r="H70" s="835"/>
      <c r="I70" s="835"/>
      <c r="J70" s="835"/>
      <c r="K70" s="835"/>
      <c r="L70" s="835"/>
      <c r="M70" s="835"/>
      <c r="N70" s="835"/>
      <c r="O70" s="835"/>
      <c r="P70" s="835"/>
      <c r="Q70" s="835"/>
      <c r="R70" s="835"/>
      <c r="S70" s="835"/>
      <c r="T70" s="835"/>
      <c r="U70" s="835"/>
      <c r="V70" s="835"/>
      <c r="W70" s="835"/>
      <c r="X70" s="809"/>
      <c r="Y70" s="835"/>
      <c r="Z70" s="836"/>
      <c r="AA70" s="829"/>
      <c r="AB70" s="299"/>
      <c r="AD70" s="298"/>
      <c r="AE70" s="298"/>
      <c r="AF70" s="307"/>
      <c r="AG70" s="453"/>
      <c r="AH70" s="453"/>
      <c r="AI70" s="453"/>
      <c r="AJ70" s="453"/>
      <c r="AK70" s="298"/>
      <c r="AL70" s="298"/>
    </row>
    <row r="71" spans="1:38" ht="15.75">
      <c r="A71" s="300"/>
      <c r="B71" s="437" t="str">
        <f>'Development Costs'!C42</f>
        <v>Cost Certification/Audit</v>
      </c>
      <c r="C71" s="828">
        <f>'Development Costs'!I42</f>
        <v>0</v>
      </c>
      <c r="D71" s="838">
        <f t="shared" si="25"/>
        <v>0</v>
      </c>
      <c r="E71" s="835"/>
      <c r="F71" s="835"/>
      <c r="G71" s="835"/>
      <c r="H71" s="835"/>
      <c r="I71" s="835"/>
      <c r="J71" s="835"/>
      <c r="K71" s="835"/>
      <c r="L71" s="835"/>
      <c r="M71" s="835"/>
      <c r="N71" s="835"/>
      <c r="O71" s="835"/>
      <c r="P71" s="835"/>
      <c r="Q71" s="835"/>
      <c r="R71" s="835"/>
      <c r="S71" s="835"/>
      <c r="T71" s="835"/>
      <c r="U71" s="835"/>
      <c r="V71" s="835"/>
      <c r="W71" s="835"/>
      <c r="X71" s="809"/>
      <c r="Y71" s="835"/>
      <c r="Z71" s="836"/>
      <c r="AA71" s="829">
        <f t="shared" si="14"/>
        <v>0</v>
      </c>
      <c r="AB71" s="299" t="str">
        <f t="shared" si="12"/>
        <v>ok</v>
      </c>
      <c r="AD71" s="298"/>
      <c r="AE71" s="298"/>
      <c r="AF71" s="455"/>
      <c r="AG71" s="453"/>
      <c r="AH71" s="453"/>
      <c r="AI71" s="453"/>
      <c r="AJ71" s="453"/>
      <c r="AK71" s="298"/>
      <c r="AL71" s="298"/>
    </row>
    <row r="72" spans="1:38" ht="15.75">
      <c r="A72" s="300"/>
      <c r="B72" s="437" t="str">
        <f>'Development Costs'!C43</f>
        <v>"Green" Audit/Consultant</v>
      </c>
      <c r="C72" s="828">
        <f>'Development Costs'!I43</f>
        <v>0</v>
      </c>
      <c r="D72" s="838">
        <f t="shared" si="25"/>
        <v>0</v>
      </c>
      <c r="E72" s="835"/>
      <c r="F72" s="835"/>
      <c r="G72" s="835"/>
      <c r="H72" s="835"/>
      <c r="I72" s="835"/>
      <c r="J72" s="835"/>
      <c r="K72" s="835"/>
      <c r="L72" s="835"/>
      <c r="M72" s="835"/>
      <c r="N72" s="835"/>
      <c r="O72" s="835"/>
      <c r="P72" s="835"/>
      <c r="Q72" s="835"/>
      <c r="R72" s="835"/>
      <c r="S72" s="835"/>
      <c r="T72" s="835"/>
      <c r="U72" s="835"/>
      <c r="V72" s="835"/>
      <c r="W72" s="835"/>
      <c r="X72" s="809"/>
      <c r="Y72" s="835"/>
      <c r="Z72" s="836"/>
      <c r="AA72" s="829">
        <f t="shared" si="14"/>
        <v>0</v>
      </c>
      <c r="AB72" s="299" t="str">
        <f t="shared" si="12"/>
        <v>ok</v>
      </c>
      <c r="AD72" s="298"/>
      <c r="AE72" s="298"/>
      <c r="AF72" s="455"/>
      <c r="AG72" s="453"/>
      <c r="AH72" s="453"/>
      <c r="AI72" s="453"/>
      <c r="AJ72" s="453"/>
      <c r="AK72" s="298"/>
      <c r="AL72" s="298"/>
    </row>
    <row r="73" spans="1:38" ht="15.75">
      <c r="A73" s="300"/>
      <c r="B73" s="437" t="str">
        <f>'Development Costs'!C44</f>
        <v>Energy Audit</v>
      </c>
      <c r="C73" s="828">
        <f>'Development Costs'!I44</f>
        <v>0</v>
      </c>
      <c r="D73" s="838">
        <f t="shared" si="25"/>
        <v>0</v>
      </c>
      <c r="E73" s="835"/>
      <c r="F73" s="835"/>
      <c r="G73" s="835"/>
      <c r="H73" s="835"/>
      <c r="I73" s="835"/>
      <c r="J73" s="835"/>
      <c r="K73" s="835"/>
      <c r="L73" s="835"/>
      <c r="M73" s="835"/>
      <c r="N73" s="835"/>
      <c r="O73" s="835"/>
      <c r="P73" s="835"/>
      <c r="Q73" s="835"/>
      <c r="R73" s="835"/>
      <c r="S73" s="835"/>
      <c r="T73" s="835"/>
      <c r="U73" s="835"/>
      <c r="V73" s="835"/>
      <c r="W73" s="835"/>
      <c r="X73" s="809"/>
      <c r="Y73" s="835"/>
      <c r="Z73" s="836"/>
      <c r="AA73" s="829">
        <f t="shared" si="14"/>
        <v>0</v>
      </c>
      <c r="AB73" s="299" t="str">
        <f t="shared" si="12"/>
        <v>ok</v>
      </c>
      <c r="AD73" s="298"/>
      <c r="AE73" s="298"/>
      <c r="AF73" s="455"/>
      <c r="AG73" s="453"/>
      <c r="AH73" s="453"/>
      <c r="AI73" s="453"/>
      <c r="AJ73" s="453"/>
      <c r="AK73" s="298"/>
      <c r="AL73" s="298"/>
    </row>
    <row r="74" spans="1:38" ht="15.75">
      <c r="A74" s="300"/>
      <c r="B74" s="437" t="str">
        <f>'Development Costs'!C45</f>
        <v>Historic Consultant</v>
      </c>
      <c r="C74" s="828">
        <f>'Development Costs'!I45</f>
        <v>0</v>
      </c>
      <c r="D74" s="838">
        <f t="shared" si="25"/>
        <v>0</v>
      </c>
      <c r="E74" s="835"/>
      <c r="F74" s="835"/>
      <c r="G74" s="835"/>
      <c r="H74" s="835"/>
      <c r="I74" s="835"/>
      <c r="J74" s="835"/>
      <c r="K74" s="835"/>
      <c r="L74" s="835"/>
      <c r="M74" s="835"/>
      <c r="N74" s="835"/>
      <c r="O74" s="835"/>
      <c r="P74" s="835"/>
      <c r="Q74" s="835"/>
      <c r="R74" s="835"/>
      <c r="S74" s="835"/>
      <c r="T74" s="835"/>
      <c r="U74" s="835"/>
      <c r="V74" s="835"/>
      <c r="W74" s="835"/>
      <c r="X74" s="809"/>
      <c r="Y74" s="835"/>
      <c r="Z74" s="836"/>
      <c r="AA74" s="829">
        <f t="shared" si="14"/>
        <v>0</v>
      </c>
      <c r="AB74" s="299" t="str">
        <f t="shared" si="12"/>
        <v>ok</v>
      </c>
      <c r="AD74" s="298"/>
      <c r="AE74" s="298"/>
      <c r="AF74" s="455"/>
      <c r="AG74" s="453"/>
      <c r="AH74" s="453"/>
      <c r="AI74" s="453"/>
      <c r="AJ74" s="453"/>
      <c r="AK74" s="298"/>
      <c r="AL74" s="298"/>
    </row>
    <row r="75" spans="1:38" ht="15.75">
      <c r="A75" s="300"/>
      <c r="B75" s="437" t="str">
        <f>'Development Costs'!C46</f>
        <v>Relocation</v>
      </c>
      <c r="C75" s="828">
        <f>'Development Costs'!I46</f>
        <v>0</v>
      </c>
      <c r="D75" s="844"/>
      <c r="E75" s="845">
        <f>$C$75/'Timing-Leasing-TC Delivery'!$H$8</f>
        <v>0</v>
      </c>
      <c r="F75" s="845">
        <f>$C$75/'Timing-Leasing-TC Delivery'!$H$8</f>
        <v>0</v>
      </c>
      <c r="G75" s="845">
        <f>$C$75/'Timing-Leasing-TC Delivery'!$H$8</f>
        <v>0</v>
      </c>
      <c r="H75" s="845">
        <f>$C$75/'Timing-Leasing-TC Delivery'!$H$8</f>
        <v>0</v>
      </c>
      <c r="I75" s="845">
        <f>$C$75/'Timing-Leasing-TC Delivery'!$H$8</f>
        <v>0</v>
      </c>
      <c r="J75" s="845">
        <f>$C$75/'Timing-Leasing-TC Delivery'!$H$8</f>
        <v>0</v>
      </c>
      <c r="K75" s="845">
        <f>$C$75/'Timing-Leasing-TC Delivery'!$H$8</f>
        <v>0</v>
      </c>
      <c r="L75" s="845">
        <f>$C$75/'Timing-Leasing-TC Delivery'!$H$8</f>
        <v>0</v>
      </c>
      <c r="M75" s="845">
        <f>$C$75/'Timing-Leasing-TC Delivery'!$H$8</f>
        <v>0</v>
      </c>
      <c r="N75" s="845">
        <f>$C$75/'Timing-Leasing-TC Delivery'!$H$8</f>
        <v>0</v>
      </c>
      <c r="O75" s="845">
        <f>$C$75/'Timing-Leasing-TC Delivery'!$H$8</f>
        <v>0</v>
      </c>
      <c r="P75" s="845"/>
      <c r="Q75" s="845"/>
      <c r="R75" s="845"/>
      <c r="S75" s="845"/>
      <c r="T75" s="845"/>
      <c r="U75" s="845"/>
      <c r="V75" s="845"/>
      <c r="W75" s="835"/>
      <c r="X75" s="809"/>
      <c r="Y75" s="835"/>
      <c r="Z75" s="836"/>
      <c r="AA75" s="829">
        <f t="shared" si="14"/>
        <v>0</v>
      </c>
      <c r="AB75" s="299" t="str">
        <f t="shared" si="12"/>
        <v>ok</v>
      </c>
      <c r="AD75" s="298"/>
      <c r="AE75" s="298"/>
      <c r="AF75" s="455"/>
      <c r="AG75" s="453"/>
      <c r="AH75" s="453"/>
      <c r="AI75" s="453"/>
      <c r="AJ75" s="453"/>
      <c r="AK75" s="298"/>
      <c r="AL75" s="298"/>
    </row>
    <row r="76" spans="1:38" ht="15.75">
      <c r="A76" s="300"/>
      <c r="B76" s="437" t="str">
        <f>'Development Costs'!C47</f>
        <v>Soft Cost Contingency</v>
      </c>
      <c r="C76" s="828">
        <f>'Development Costs'!I47</f>
        <v>0</v>
      </c>
      <c r="D76" s="838">
        <f>$C$76*0.5</f>
        <v>0</v>
      </c>
      <c r="E76" s="835">
        <f>$C$76*0.5</f>
        <v>0</v>
      </c>
      <c r="F76" s="835"/>
      <c r="G76" s="835"/>
      <c r="H76" s="835"/>
      <c r="I76" s="835"/>
      <c r="J76" s="835"/>
      <c r="K76" s="835"/>
      <c r="L76" s="835"/>
      <c r="M76" s="835"/>
      <c r="N76" s="835"/>
      <c r="O76" s="835"/>
      <c r="P76" s="835"/>
      <c r="Q76" s="835"/>
      <c r="R76" s="835"/>
      <c r="S76" s="835"/>
      <c r="T76" s="835"/>
      <c r="U76" s="835"/>
      <c r="V76" s="835"/>
      <c r="W76" s="835"/>
      <c r="X76" s="809"/>
      <c r="Y76" s="835"/>
      <c r="Z76" s="836"/>
      <c r="AA76" s="829">
        <f t="shared" si="14"/>
        <v>0</v>
      </c>
      <c r="AB76" s="299" t="str">
        <f t="shared" si="12"/>
        <v>ok</v>
      </c>
      <c r="AD76" s="298"/>
      <c r="AE76" s="298"/>
      <c r="AF76" s="455"/>
      <c r="AG76" s="453"/>
      <c r="AH76" s="453"/>
      <c r="AI76" s="453"/>
      <c r="AJ76" s="453"/>
      <c r="AK76" s="298"/>
      <c r="AL76" s="298"/>
    </row>
    <row r="77" spans="1:38" ht="15.75">
      <c r="A77" s="300"/>
      <c r="B77" s="437" t="str">
        <f>'Development Costs'!C48</f>
        <v>Other DD/Service Provider Fee/Cost</v>
      </c>
      <c r="C77" s="828">
        <f>'Development Costs'!I48</f>
        <v>0</v>
      </c>
      <c r="D77" s="838">
        <f t="shared" si="25"/>
        <v>0</v>
      </c>
      <c r="E77" s="835"/>
      <c r="F77" s="835"/>
      <c r="G77" s="835"/>
      <c r="H77" s="835"/>
      <c r="I77" s="835"/>
      <c r="J77" s="835"/>
      <c r="K77" s="835"/>
      <c r="L77" s="835"/>
      <c r="M77" s="835"/>
      <c r="N77" s="835"/>
      <c r="O77" s="835"/>
      <c r="P77" s="835"/>
      <c r="Q77" s="835"/>
      <c r="R77" s="835"/>
      <c r="S77" s="835"/>
      <c r="T77" s="835"/>
      <c r="U77" s="835"/>
      <c r="V77" s="835"/>
      <c r="W77" s="835"/>
      <c r="X77" s="809"/>
      <c r="Y77" s="835"/>
      <c r="Z77" s="836"/>
      <c r="AA77" s="829">
        <f t="shared" si="14"/>
        <v>0</v>
      </c>
      <c r="AB77" s="299" t="str">
        <f t="shared" si="12"/>
        <v>ok</v>
      </c>
      <c r="AD77" s="298"/>
      <c r="AE77" s="298"/>
      <c r="AF77" s="455"/>
      <c r="AG77" s="453"/>
      <c r="AH77" s="453"/>
      <c r="AI77" s="453"/>
      <c r="AJ77" s="453"/>
      <c r="AK77" s="298"/>
      <c r="AL77" s="298"/>
    </row>
    <row r="78" spans="1:38" ht="15.75">
      <c r="A78" s="300"/>
      <c r="B78" s="437" t="str">
        <f>'Development Costs'!C49</f>
        <v>Other DD/Service Provider Fee/Cost</v>
      </c>
      <c r="C78" s="828">
        <f>'Development Costs'!I49</f>
        <v>0</v>
      </c>
      <c r="D78" s="838">
        <f t="shared" si="25"/>
        <v>0</v>
      </c>
      <c r="E78" s="835"/>
      <c r="F78" s="835"/>
      <c r="G78" s="835"/>
      <c r="H78" s="835"/>
      <c r="I78" s="835"/>
      <c r="J78" s="835"/>
      <c r="K78" s="835"/>
      <c r="L78" s="835"/>
      <c r="M78" s="835"/>
      <c r="N78" s="835"/>
      <c r="O78" s="835"/>
      <c r="P78" s="835"/>
      <c r="Q78" s="835"/>
      <c r="R78" s="835"/>
      <c r="S78" s="835"/>
      <c r="T78" s="835"/>
      <c r="U78" s="835"/>
      <c r="V78" s="835"/>
      <c r="W78" s="835"/>
      <c r="X78" s="809"/>
      <c r="Y78" s="835"/>
      <c r="Z78" s="836"/>
      <c r="AA78" s="829">
        <f t="shared" si="14"/>
        <v>0</v>
      </c>
      <c r="AB78" s="299" t="str">
        <f t="shared" si="12"/>
        <v>ok</v>
      </c>
      <c r="AD78" s="298"/>
      <c r="AE78" s="298"/>
      <c r="AF78" s="455"/>
      <c r="AG78" s="453"/>
      <c r="AH78" s="453"/>
      <c r="AI78" s="453"/>
      <c r="AJ78" s="453"/>
      <c r="AK78" s="298"/>
      <c r="AL78" s="298"/>
    </row>
    <row r="79" spans="1:38" ht="15.75">
      <c r="A79" s="300"/>
      <c r="B79" s="326"/>
      <c r="C79" s="828"/>
      <c r="D79" s="838"/>
      <c r="E79" s="835"/>
      <c r="F79" s="835"/>
      <c r="G79" s="835"/>
      <c r="H79" s="835"/>
      <c r="I79" s="835"/>
      <c r="J79" s="835"/>
      <c r="K79" s="835"/>
      <c r="L79" s="835"/>
      <c r="M79" s="835"/>
      <c r="N79" s="835"/>
      <c r="O79" s="835"/>
      <c r="P79" s="835"/>
      <c r="Q79" s="835"/>
      <c r="R79" s="835"/>
      <c r="S79" s="835"/>
      <c r="T79" s="835"/>
      <c r="U79" s="835"/>
      <c r="V79" s="835"/>
      <c r="W79" s="835"/>
      <c r="X79" s="809"/>
      <c r="Y79" s="835"/>
      <c r="Z79" s="836"/>
      <c r="AA79" s="829"/>
      <c r="AB79" s="299"/>
      <c r="AD79" s="298"/>
      <c r="AE79" s="298"/>
      <c r="AF79" s="455"/>
      <c r="AG79" s="453"/>
      <c r="AH79" s="453"/>
      <c r="AI79" s="453"/>
      <c r="AJ79" s="453"/>
      <c r="AK79" s="298"/>
      <c r="AL79" s="298"/>
    </row>
    <row r="80" spans="1:38" ht="15.75">
      <c r="A80" s="300"/>
      <c r="B80" s="438" t="str">
        <f>'Development Costs'!A52</f>
        <v>Financing Costs</v>
      </c>
      <c r="C80" s="828"/>
      <c r="D80" s="838"/>
      <c r="E80" s="835"/>
      <c r="F80" s="835"/>
      <c r="G80" s="835"/>
      <c r="H80" s="835"/>
      <c r="I80" s="835"/>
      <c r="J80" s="835"/>
      <c r="K80" s="835"/>
      <c r="L80" s="835"/>
      <c r="M80" s="835"/>
      <c r="N80" s="835"/>
      <c r="O80" s="835"/>
      <c r="P80" s="835"/>
      <c r="Q80" s="835"/>
      <c r="R80" s="835"/>
      <c r="S80" s="835"/>
      <c r="T80" s="835"/>
      <c r="U80" s="835"/>
      <c r="V80" s="835"/>
      <c r="W80" s="835"/>
      <c r="X80" s="809"/>
      <c r="Y80" s="835"/>
      <c r="Z80" s="836"/>
      <c r="AA80" s="829"/>
      <c r="AB80" s="299"/>
      <c r="AD80" s="298"/>
      <c r="AE80" s="298"/>
      <c r="AF80" s="455"/>
      <c r="AG80" s="453"/>
      <c r="AH80" s="453"/>
      <c r="AI80" s="453"/>
      <c r="AJ80" s="453"/>
      <c r="AK80" s="298"/>
      <c r="AL80" s="298"/>
    </row>
    <row r="81" spans="1:28" ht="15.75">
      <c r="A81" s="300"/>
      <c r="B81" s="441" t="str">
        <f>'Development Costs'!B53</f>
        <v>Construction Financing &amp; Interim Costs</v>
      </c>
      <c r="C81" s="828"/>
      <c r="D81" s="838"/>
      <c r="E81" s="835"/>
      <c r="F81" s="835"/>
      <c r="G81" s="835"/>
      <c r="H81" s="835"/>
      <c r="I81" s="835"/>
      <c r="J81" s="835"/>
      <c r="K81" s="835"/>
      <c r="L81" s="835"/>
      <c r="M81" s="835"/>
      <c r="N81" s="835"/>
      <c r="O81" s="835"/>
      <c r="P81" s="835"/>
      <c r="Q81" s="835"/>
      <c r="R81" s="835"/>
      <c r="S81" s="835"/>
      <c r="T81" s="835"/>
      <c r="U81" s="835"/>
      <c r="V81" s="835"/>
      <c r="W81" s="835"/>
      <c r="X81" s="809"/>
      <c r="Y81" s="835"/>
      <c r="Z81" s="836"/>
      <c r="AA81" s="829"/>
      <c r="AB81" s="299"/>
    </row>
    <row r="82" spans="1:28" ht="15.75">
      <c r="A82" s="300"/>
      <c r="B82" s="437" t="str">
        <f>'Development Costs'!C54</f>
        <v>Construction Loan/Bond Interest</v>
      </c>
      <c r="C82" s="828">
        <f>'Development Costs'!$I$54</f>
        <v>0</v>
      </c>
      <c r="D82" s="838"/>
      <c r="E82" s="845">
        <f>$C$82/'Timing-Leasing-TC Delivery'!$H$8</f>
        <v>0</v>
      </c>
      <c r="F82" s="845">
        <f>$C$82/'Timing-Leasing-TC Delivery'!$H$8</f>
        <v>0</v>
      </c>
      <c r="G82" s="845">
        <f>$C$82/'Timing-Leasing-TC Delivery'!$H$8</f>
        <v>0</v>
      </c>
      <c r="H82" s="845">
        <f>$C$82/'Timing-Leasing-TC Delivery'!$H$8</f>
        <v>0</v>
      </c>
      <c r="I82" s="845">
        <f>$C$82/'Timing-Leasing-TC Delivery'!$H$8</f>
        <v>0</v>
      </c>
      <c r="J82" s="845">
        <f>$C$82/'Timing-Leasing-TC Delivery'!$H$8</f>
        <v>0</v>
      </c>
      <c r="K82" s="845">
        <f>$C$82/'Timing-Leasing-TC Delivery'!$H$8</f>
        <v>0</v>
      </c>
      <c r="L82" s="845">
        <f>$C$82/'Timing-Leasing-TC Delivery'!$H$8</f>
        <v>0</v>
      </c>
      <c r="M82" s="845">
        <f>$C$82/'Timing-Leasing-TC Delivery'!$H$8</f>
        <v>0</v>
      </c>
      <c r="N82" s="845">
        <f>$C$82/'Timing-Leasing-TC Delivery'!$H$8</f>
        <v>0</v>
      </c>
      <c r="O82" s="845">
        <f>$C$82/'Timing-Leasing-TC Delivery'!$H$8</f>
        <v>0</v>
      </c>
      <c r="P82" s="845"/>
      <c r="Q82" s="845"/>
      <c r="R82" s="845"/>
      <c r="S82" s="845"/>
      <c r="T82" s="845"/>
      <c r="U82" s="845"/>
      <c r="V82" s="845"/>
      <c r="W82" s="835"/>
      <c r="X82" s="809"/>
      <c r="Y82" s="835"/>
      <c r="Z82" s="836"/>
      <c r="AA82" s="829">
        <f t="shared" si="14"/>
        <v>0</v>
      </c>
      <c r="AB82" s="299" t="str">
        <f t="shared" si="12"/>
        <v>ok</v>
      </c>
    </row>
    <row r="83" spans="1:28" ht="15.75">
      <c r="A83" s="300"/>
      <c r="B83" s="437" t="str">
        <f>'Development Costs'!C55</f>
        <v>Construction Loan Origination</v>
      </c>
      <c r="C83" s="828">
        <f>'Development Costs'!I55</f>
        <v>0</v>
      </c>
      <c r="D83" s="838">
        <f>C83</f>
        <v>0</v>
      </c>
      <c r="E83" s="835"/>
      <c r="F83" s="835"/>
      <c r="G83" s="835"/>
      <c r="H83" s="835"/>
      <c r="I83" s="835"/>
      <c r="J83" s="835"/>
      <c r="K83" s="835"/>
      <c r="L83" s="835"/>
      <c r="M83" s="835"/>
      <c r="N83" s="835"/>
      <c r="O83" s="835"/>
      <c r="P83" s="835"/>
      <c r="Q83" s="835"/>
      <c r="R83" s="835"/>
      <c r="S83" s="835"/>
      <c r="T83" s="835"/>
      <c r="U83" s="835"/>
      <c r="V83" s="835"/>
      <c r="W83" s="835"/>
      <c r="X83" s="809"/>
      <c r="Y83" s="835"/>
      <c r="Z83" s="836"/>
      <c r="AA83" s="829">
        <f t="shared" si="14"/>
        <v>0</v>
      </c>
      <c r="AB83" s="299" t="str">
        <f t="shared" si="12"/>
        <v>ok</v>
      </c>
    </row>
    <row r="84" spans="1:28" ht="15.75">
      <c r="A84" s="300"/>
      <c r="B84" s="437" t="str">
        <f>'Development Costs'!C56</f>
        <v>Construction Lender - Legal</v>
      </c>
      <c r="C84" s="828">
        <f>'Development Costs'!I56</f>
        <v>0</v>
      </c>
      <c r="D84" s="838">
        <f>C84</f>
        <v>0</v>
      </c>
      <c r="E84" s="835"/>
      <c r="F84" s="835"/>
      <c r="G84" s="835"/>
      <c r="H84" s="835"/>
      <c r="I84" s="835"/>
      <c r="J84" s="835"/>
      <c r="K84" s="835"/>
      <c r="L84" s="835"/>
      <c r="M84" s="835"/>
      <c r="N84" s="835"/>
      <c r="O84" s="835"/>
      <c r="P84" s="835"/>
      <c r="Q84" s="835"/>
      <c r="R84" s="835"/>
      <c r="S84" s="835"/>
      <c r="T84" s="835"/>
      <c r="U84" s="835"/>
      <c r="V84" s="835"/>
      <c r="W84" s="835"/>
      <c r="X84" s="809"/>
      <c r="Y84" s="835"/>
      <c r="Z84" s="836"/>
      <c r="AA84" s="829">
        <f t="shared" si="14"/>
        <v>0</v>
      </c>
      <c r="AB84" s="299" t="str">
        <f t="shared" si="12"/>
        <v>ok</v>
      </c>
    </row>
    <row r="85" spans="1:28" ht="15.75">
      <c r="A85" s="300"/>
      <c r="B85" s="437" t="str">
        <f>'Development Costs'!C57</f>
        <v>Construction Lender - Reports/Inspections</v>
      </c>
      <c r="C85" s="828">
        <f>'Development Costs'!I57</f>
        <v>0</v>
      </c>
      <c r="D85" s="838"/>
      <c r="E85" s="845">
        <f>$C$85/'Timing-Leasing-TC Delivery'!$H$8</f>
        <v>0</v>
      </c>
      <c r="F85" s="845">
        <f>$C$85/'Timing-Leasing-TC Delivery'!$H$8</f>
        <v>0</v>
      </c>
      <c r="G85" s="845">
        <f>$C$85/'Timing-Leasing-TC Delivery'!$H$8</f>
        <v>0</v>
      </c>
      <c r="H85" s="845">
        <f>$C$85/'Timing-Leasing-TC Delivery'!$H$8</f>
        <v>0</v>
      </c>
      <c r="I85" s="845">
        <f>$C$85/'Timing-Leasing-TC Delivery'!$H$8</f>
        <v>0</v>
      </c>
      <c r="J85" s="845">
        <f>$C$85/'Timing-Leasing-TC Delivery'!$H$8</f>
        <v>0</v>
      </c>
      <c r="K85" s="845">
        <f>$C$85/'Timing-Leasing-TC Delivery'!$H$8</f>
        <v>0</v>
      </c>
      <c r="L85" s="845">
        <f>$C$85/'Timing-Leasing-TC Delivery'!$H$8</f>
        <v>0</v>
      </c>
      <c r="M85" s="845">
        <f>$C$85/'Timing-Leasing-TC Delivery'!$H$8</f>
        <v>0</v>
      </c>
      <c r="N85" s="845">
        <f>$C$85/'Timing-Leasing-TC Delivery'!$H$8</f>
        <v>0</v>
      </c>
      <c r="O85" s="845">
        <f>$C$85/'Timing-Leasing-TC Delivery'!$H$8</f>
        <v>0</v>
      </c>
      <c r="P85" s="845"/>
      <c r="Q85" s="845"/>
      <c r="R85" s="845"/>
      <c r="S85" s="845"/>
      <c r="T85" s="845"/>
      <c r="U85" s="845"/>
      <c r="V85" s="845"/>
      <c r="W85" s="835"/>
      <c r="X85" s="809"/>
      <c r="Y85" s="835"/>
      <c r="Z85" s="836"/>
      <c r="AA85" s="829">
        <f t="shared" si="14"/>
        <v>0</v>
      </c>
      <c r="AB85" s="299" t="str">
        <f t="shared" si="12"/>
        <v>ok</v>
      </c>
    </row>
    <row r="86" spans="1:28" ht="15.75">
      <c r="A86" s="300"/>
      <c r="B86" s="437" t="str">
        <f>'Development Costs'!C58</f>
        <v>Title &amp; Recording</v>
      </c>
      <c r="C86" s="828">
        <f>'Development Costs'!I58</f>
        <v>0</v>
      </c>
      <c r="D86" s="838">
        <f>C86</f>
        <v>0</v>
      </c>
      <c r="E86" s="835"/>
      <c r="F86" s="835"/>
      <c r="G86" s="835"/>
      <c r="H86" s="835"/>
      <c r="I86" s="835"/>
      <c r="J86" s="835"/>
      <c r="K86" s="835"/>
      <c r="L86" s="835"/>
      <c r="M86" s="835"/>
      <c r="N86" s="835"/>
      <c r="O86" s="835"/>
      <c r="P86" s="835"/>
      <c r="Q86" s="835"/>
      <c r="R86" s="835"/>
      <c r="S86" s="835"/>
      <c r="T86" s="835"/>
      <c r="U86" s="835"/>
      <c r="V86" s="835"/>
      <c r="W86" s="835"/>
      <c r="X86" s="809"/>
      <c r="Y86" s="835"/>
      <c r="Z86" s="836"/>
      <c r="AA86" s="829">
        <f t="shared" si="14"/>
        <v>0</v>
      </c>
      <c r="AB86" s="299" t="str">
        <f t="shared" si="12"/>
        <v>ok</v>
      </c>
    </row>
    <row r="87" spans="1:28" ht="15.75">
      <c r="A87" s="300"/>
      <c r="B87" s="437" t="str">
        <f>'Development Costs'!C59</f>
        <v>Construction Period Taxes</v>
      </c>
      <c r="C87" s="828">
        <f>'Development Costs'!I59</f>
        <v>0</v>
      </c>
      <c r="D87" s="838">
        <f>C87</f>
        <v>0</v>
      </c>
      <c r="E87" s="835"/>
      <c r="F87" s="835"/>
      <c r="G87" s="835"/>
      <c r="H87" s="835"/>
      <c r="I87" s="835"/>
      <c r="J87" s="835"/>
      <c r="K87" s="835"/>
      <c r="L87" s="835"/>
      <c r="M87" s="835"/>
      <c r="N87" s="835"/>
      <c r="O87" s="835"/>
      <c r="P87" s="835"/>
      <c r="Q87" s="835"/>
      <c r="R87" s="835"/>
      <c r="S87" s="835"/>
      <c r="T87" s="835"/>
      <c r="U87" s="835"/>
      <c r="V87" s="835"/>
      <c r="W87" s="835"/>
      <c r="X87" s="809"/>
      <c r="Y87" s="835"/>
      <c r="Z87" s="836"/>
      <c r="AA87" s="829">
        <f t="shared" si="14"/>
        <v>0</v>
      </c>
      <c r="AB87" s="299" t="str">
        <f t="shared" si="12"/>
        <v>ok</v>
      </c>
    </row>
    <row r="88" spans="1:28" ht="15.75">
      <c r="A88" s="300"/>
      <c r="B88" s="437" t="str">
        <f>'Development Costs'!C60</f>
        <v>Predevelopment Loan Fees</v>
      </c>
      <c r="C88" s="828">
        <f>'Development Costs'!I60</f>
        <v>0</v>
      </c>
      <c r="D88" s="838">
        <f>C88</f>
        <v>0</v>
      </c>
      <c r="E88" s="835"/>
      <c r="F88" s="835"/>
      <c r="G88" s="835"/>
      <c r="H88" s="835"/>
      <c r="I88" s="835"/>
      <c r="J88" s="835"/>
      <c r="K88" s="835"/>
      <c r="L88" s="835"/>
      <c r="M88" s="835"/>
      <c r="N88" s="835"/>
      <c r="O88" s="835"/>
      <c r="P88" s="835"/>
      <c r="Q88" s="835"/>
      <c r="R88" s="835"/>
      <c r="S88" s="835"/>
      <c r="T88" s="835"/>
      <c r="U88" s="835"/>
      <c r="V88" s="835"/>
      <c r="W88" s="835"/>
      <c r="X88" s="809"/>
      <c r="Y88" s="835"/>
      <c r="Z88" s="836"/>
      <c r="AA88" s="829">
        <f t="shared" si="14"/>
        <v>0</v>
      </c>
      <c r="AB88" s="299" t="str">
        <f t="shared" si="12"/>
        <v>ok</v>
      </c>
    </row>
    <row r="89" spans="1:28" ht="15.75">
      <c r="A89" s="300"/>
      <c r="B89" s="437" t="str">
        <f>'Development Costs'!C61</f>
        <v>Predevelopment Loan Interest</v>
      </c>
      <c r="C89" s="828">
        <f>'Development Costs'!I61</f>
        <v>0</v>
      </c>
      <c r="D89" s="838">
        <f>C89</f>
        <v>0</v>
      </c>
      <c r="E89" s="835"/>
      <c r="F89" s="835"/>
      <c r="G89" s="835"/>
      <c r="H89" s="835"/>
      <c r="I89" s="835"/>
      <c r="J89" s="835"/>
      <c r="K89" s="835"/>
      <c r="L89" s="835"/>
      <c r="M89" s="835"/>
      <c r="N89" s="835"/>
      <c r="O89" s="835"/>
      <c r="P89" s="835"/>
      <c r="Q89" s="835"/>
      <c r="R89" s="835"/>
      <c r="S89" s="835"/>
      <c r="T89" s="835"/>
      <c r="U89" s="835"/>
      <c r="V89" s="835"/>
      <c r="W89" s="835"/>
      <c r="X89" s="809"/>
      <c r="Y89" s="835"/>
      <c r="Z89" s="836"/>
      <c r="AA89" s="829">
        <f t="shared" si="14"/>
        <v>0</v>
      </c>
      <c r="AB89" s="299" t="str">
        <f t="shared" si="12"/>
        <v>ok</v>
      </c>
    </row>
    <row r="90" spans="1:28" ht="15.75">
      <c r="A90" s="300"/>
      <c r="B90" s="441" t="str">
        <f>'Development Costs'!B63</f>
        <v>Permanent Financing</v>
      </c>
      <c r="C90" s="828"/>
      <c r="D90" s="838"/>
      <c r="E90" s="835"/>
      <c r="F90" s="835"/>
      <c r="G90" s="835"/>
      <c r="H90" s="835"/>
      <c r="I90" s="835"/>
      <c r="J90" s="835"/>
      <c r="K90" s="835"/>
      <c r="L90" s="835"/>
      <c r="M90" s="835"/>
      <c r="N90" s="835"/>
      <c r="O90" s="835"/>
      <c r="P90" s="835"/>
      <c r="Q90" s="835"/>
      <c r="R90" s="835"/>
      <c r="S90" s="835"/>
      <c r="T90" s="835"/>
      <c r="U90" s="835"/>
      <c r="V90" s="835"/>
      <c r="W90" s="835"/>
      <c r="X90" s="809"/>
      <c r="Y90" s="835"/>
      <c r="Z90" s="836"/>
      <c r="AA90" s="829"/>
      <c r="AB90" s="299"/>
    </row>
    <row r="91" spans="1:28" ht="15.75">
      <c r="A91" s="300"/>
      <c r="B91" s="437" t="str">
        <f>'Development Costs'!C64</f>
        <v>Perm. Loan Application Fees</v>
      </c>
      <c r="C91" s="828" t="e">
        <f>'Development Costs'!I64</f>
        <v>#DIV/0!</v>
      </c>
      <c r="D91" s="838"/>
      <c r="E91" s="835"/>
      <c r="F91" s="835"/>
      <c r="G91" s="835"/>
      <c r="H91" s="835"/>
      <c r="I91" s="835"/>
      <c r="J91" s="835"/>
      <c r="K91" s="835"/>
      <c r="L91" s="835"/>
      <c r="M91" s="835"/>
      <c r="N91" s="835"/>
      <c r="O91" s="835"/>
      <c r="P91" s="835"/>
      <c r="Q91" s="835"/>
      <c r="R91" s="835"/>
      <c r="S91" s="835"/>
      <c r="T91" s="835"/>
      <c r="U91" s="835"/>
      <c r="V91" s="835"/>
      <c r="W91" s="835"/>
      <c r="X91" s="809" t="e">
        <f>C91</f>
        <v>#DIV/0!</v>
      </c>
      <c r="Y91" s="835"/>
      <c r="Z91" s="836"/>
      <c r="AA91" s="829" t="e">
        <f t="shared" si="14"/>
        <v>#DIV/0!</v>
      </c>
      <c r="AB91" s="299" t="e">
        <f t="shared" si="12"/>
        <v>#DIV/0!</v>
      </c>
    </row>
    <row r="92" spans="1:28" ht="15.75">
      <c r="A92" s="300"/>
      <c r="B92" s="437" t="str">
        <f>'Development Costs'!C65</f>
        <v>Perm. Loan Origination Fee</v>
      </c>
      <c r="C92" s="828" t="e">
        <f>'Development Costs'!I65</f>
        <v>#DIV/0!</v>
      </c>
      <c r="D92" s="838"/>
      <c r="E92" s="835"/>
      <c r="F92" s="835"/>
      <c r="G92" s="835"/>
      <c r="H92" s="835"/>
      <c r="I92" s="835"/>
      <c r="J92" s="835"/>
      <c r="K92" s="835"/>
      <c r="L92" s="835"/>
      <c r="M92" s="835"/>
      <c r="N92" s="835"/>
      <c r="O92" s="835"/>
      <c r="P92" s="835"/>
      <c r="Q92" s="835"/>
      <c r="R92" s="835"/>
      <c r="S92" s="835"/>
      <c r="T92" s="835"/>
      <c r="U92" s="835"/>
      <c r="V92" s="835"/>
      <c r="W92" s="835"/>
      <c r="X92" s="809" t="e">
        <f t="shared" ref="X92:X97" si="26">C92</f>
        <v>#DIV/0!</v>
      </c>
      <c r="Y92" s="835"/>
      <c r="Z92" s="836"/>
      <c r="AA92" s="829" t="e">
        <f t="shared" si="14"/>
        <v>#DIV/0!</v>
      </c>
      <c r="AB92" s="299" t="e">
        <f t="shared" si="12"/>
        <v>#DIV/0!</v>
      </c>
    </row>
    <row r="93" spans="1:28" ht="15.75">
      <c r="A93" s="300"/>
      <c r="B93" s="437" t="str">
        <f>'Development Costs'!C66</f>
        <v>Permanent Lender - Legal</v>
      </c>
      <c r="C93" s="828">
        <f>'Development Costs'!I66</f>
        <v>0</v>
      </c>
      <c r="D93" s="838"/>
      <c r="E93" s="835"/>
      <c r="F93" s="835"/>
      <c r="G93" s="835"/>
      <c r="H93" s="835"/>
      <c r="I93" s="835"/>
      <c r="J93" s="835"/>
      <c r="K93" s="835"/>
      <c r="L93" s="835"/>
      <c r="M93" s="835"/>
      <c r="N93" s="835"/>
      <c r="O93" s="835"/>
      <c r="P93" s="835"/>
      <c r="Q93" s="835"/>
      <c r="R93" s="835"/>
      <c r="S93" s="835"/>
      <c r="T93" s="835"/>
      <c r="U93" s="835"/>
      <c r="V93" s="835"/>
      <c r="W93" s="835"/>
      <c r="X93" s="809">
        <f t="shared" si="26"/>
        <v>0</v>
      </c>
      <c r="Y93" s="835"/>
      <c r="Z93" s="836"/>
      <c r="AA93" s="829">
        <f t="shared" si="14"/>
        <v>0</v>
      </c>
      <c r="AB93" s="299" t="str">
        <f t="shared" si="12"/>
        <v>ok</v>
      </c>
    </row>
    <row r="94" spans="1:28" ht="15.75">
      <c r="A94" s="300"/>
      <c r="B94" s="437" t="str">
        <f>'Development Costs'!C67</f>
        <v>Perm. Lender - Inspections</v>
      </c>
      <c r="C94" s="828">
        <f>'Development Costs'!I67</f>
        <v>0</v>
      </c>
      <c r="D94" s="838"/>
      <c r="E94" s="835"/>
      <c r="F94" s="835"/>
      <c r="G94" s="835"/>
      <c r="H94" s="835"/>
      <c r="I94" s="835"/>
      <c r="J94" s="835"/>
      <c r="K94" s="835"/>
      <c r="L94" s="835"/>
      <c r="M94" s="835"/>
      <c r="N94" s="835"/>
      <c r="O94" s="835"/>
      <c r="P94" s="835"/>
      <c r="Q94" s="835"/>
      <c r="R94" s="835"/>
      <c r="S94" s="835"/>
      <c r="T94" s="835"/>
      <c r="U94" s="835"/>
      <c r="V94" s="835"/>
      <c r="W94" s="835"/>
      <c r="X94" s="809">
        <f t="shared" si="26"/>
        <v>0</v>
      </c>
      <c r="Y94" s="835"/>
      <c r="Z94" s="836"/>
      <c r="AA94" s="829">
        <f t="shared" si="14"/>
        <v>0</v>
      </c>
      <c r="AB94" s="299" t="str">
        <f t="shared" si="12"/>
        <v>ok</v>
      </c>
    </row>
    <row r="95" spans="1:28" ht="15.75">
      <c r="A95" s="300"/>
      <c r="B95" s="437" t="str">
        <f>'Development Costs'!C68</f>
        <v>Third Party Lender Review Fees</v>
      </c>
      <c r="C95" s="828">
        <f>'Development Costs'!I68</f>
        <v>0</v>
      </c>
      <c r="D95" s="838"/>
      <c r="E95" s="835"/>
      <c r="F95" s="835"/>
      <c r="G95" s="835"/>
      <c r="H95" s="835"/>
      <c r="I95" s="835"/>
      <c r="J95" s="835"/>
      <c r="K95" s="835"/>
      <c r="L95" s="835"/>
      <c r="M95" s="835"/>
      <c r="N95" s="835"/>
      <c r="O95" s="835"/>
      <c r="P95" s="835"/>
      <c r="Q95" s="835"/>
      <c r="R95" s="835"/>
      <c r="S95" s="835"/>
      <c r="T95" s="835"/>
      <c r="U95" s="835"/>
      <c r="V95" s="835"/>
      <c r="W95" s="835"/>
      <c r="X95" s="809">
        <f t="shared" si="26"/>
        <v>0</v>
      </c>
      <c r="Y95" s="835"/>
      <c r="Z95" s="836"/>
      <c r="AA95" s="829">
        <f t="shared" si="14"/>
        <v>0</v>
      </c>
      <c r="AB95" s="299" t="str">
        <f t="shared" si="12"/>
        <v>ok</v>
      </c>
    </row>
    <row r="96" spans="1:28" ht="15.75">
      <c r="A96" s="300"/>
      <c r="B96" s="437" t="str">
        <f>'Development Costs'!C69</f>
        <v>Title &amp; Recording</v>
      </c>
      <c r="C96" s="828">
        <f>'Development Costs'!I69</f>
        <v>0</v>
      </c>
      <c r="D96" s="838"/>
      <c r="E96" s="835"/>
      <c r="F96" s="835"/>
      <c r="G96" s="835"/>
      <c r="H96" s="835"/>
      <c r="I96" s="835"/>
      <c r="J96" s="835"/>
      <c r="K96" s="835"/>
      <c r="L96" s="835"/>
      <c r="M96" s="835"/>
      <c r="N96" s="835"/>
      <c r="O96" s="835"/>
      <c r="P96" s="835"/>
      <c r="Q96" s="835"/>
      <c r="R96" s="835"/>
      <c r="S96" s="835"/>
      <c r="T96" s="835"/>
      <c r="U96" s="835"/>
      <c r="V96" s="835"/>
      <c r="W96" s="835"/>
      <c r="X96" s="809">
        <f t="shared" si="26"/>
        <v>0</v>
      </c>
      <c r="Y96" s="835"/>
      <c r="Z96" s="836"/>
      <c r="AA96" s="829">
        <f t="shared" si="14"/>
        <v>0</v>
      </c>
      <c r="AB96" s="299" t="str">
        <f t="shared" si="12"/>
        <v>ok</v>
      </c>
    </row>
    <row r="97" spans="1:28" ht="15.75">
      <c r="A97" s="300"/>
      <c r="B97" s="437" t="str">
        <f>'Development Costs'!C70</f>
        <v>Transfer Taxes</v>
      </c>
      <c r="C97" s="828">
        <f>'Development Costs'!I70</f>
        <v>0</v>
      </c>
      <c r="D97" s="838"/>
      <c r="E97" s="835"/>
      <c r="F97" s="835"/>
      <c r="G97" s="835"/>
      <c r="H97" s="835"/>
      <c r="I97" s="835"/>
      <c r="J97" s="835"/>
      <c r="K97" s="835"/>
      <c r="L97" s="835"/>
      <c r="M97" s="835"/>
      <c r="N97" s="835"/>
      <c r="O97" s="835"/>
      <c r="P97" s="835"/>
      <c r="Q97" s="835"/>
      <c r="R97" s="835"/>
      <c r="S97" s="835"/>
      <c r="T97" s="835"/>
      <c r="U97" s="835"/>
      <c r="V97" s="835"/>
      <c r="W97" s="835"/>
      <c r="X97" s="809">
        <f t="shared" si="26"/>
        <v>0</v>
      </c>
      <c r="Y97" s="835"/>
      <c r="Z97" s="836"/>
      <c r="AA97" s="829">
        <f t="shared" si="14"/>
        <v>0</v>
      </c>
      <c r="AB97" s="299" t="str">
        <f t="shared" si="12"/>
        <v>ok</v>
      </c>
    </row>
    <row r="98" spans="1:28" ht="15.75">
      <c r="A98" s="300"/>
      <c r="B98" s="437" t="str">
        <f>'Development Costs'!C71</f>
        <v>FHA Financing Fees (D4/223(f))</v>
      </c>
      <c r="C98" s="828">
        <f>'Development Costs'!I71</f>
        <v>0</v>
      </c>
      <c r="D98" s="838">
        <f>C98</f>
        <v>0</v>
      </c>
      <c r="E98" s="835"/>
      <c r="F98" s="835"/>
      <c r="G98" s="835"/>
      <c r="H98" s="835"/>
      <c r="I98" s="835"/>
      <c r="J98" s="835"/>
      <c r="K98" s="835"/>
      <c r="L98" s="835"/>
      <c r="M98" s="835"/>
      <c r="N98" s="835"/>
      <c r="O98" s="835"/>
      <c r="P98" s="835"/>
      <c r="Q98" s="835"/>
      <c r="R98" s="835"/>
      <c r="S98" s="835"/>
      <c r="T98" s="835"/>
      <c r="U98" s="835"/>
      <c r="V98" s="835"/>
      <c r="W98" s="835"/>
      <c r="X98" s="809"/>
      <c r="Y98" s="835"/>
      <c r="Z98" s="836"/>
      <c r="AA98" s="829">
        <f t="shared" si="14"/>
        <v>0</v>
      </c>
      <c r="AB98" s="299" t="str">
        <f t="shared" si="12"/>
        <v>ok</v>
      </c>
    </row>
    <row r="99" spans="1:28" ht="15.75">
      <c r="A99" s="300"/>
      <c r="B99" s="437" t="str">
        <f>'Development Costs'!C72</f>
        <v>HUD Inspection Fee</v>
      </c>
      <c r="C99" s="828" t="e">
        <f>'Development Costs'!I72</f>
        <v>#DIV/0!</v>
      </c>
      <c r="D99" s="838" t="e">
        <f>C99</f>
        <v>#DIV/0!</v>
      </c>
      <c r="E99" s="835"/>
      <c r="F99" s="835"/>
      <c r="G99" s="835"/>
      <c r="H99" s="835"/>
      <c r="I99" s="835"/>
      <c r="J99" s="835"/>
      <c r="K99" s="835"/>
      <c r="L99" s="835"/>
      <c r="M99" s="835"/>
      <c r="N99" s="835"/>
      <c r="O99" s="835"/>
      <c r="P99" s="835"/>
      <c r="Q99" s="835"/>
      <c r="R99" s="835"/>
      <c r="S99" s="835"/>
      <c r="T99" s="835"/>
      <c r="U99" s="835"/>
      <c r="V99" s="835"/>
      <c r="W99" s="835"/>
      <c r="X99" s="809"/>
      <c r="Y99" s="835"/>
      <c r="Z99" s="836"/>
      <c r="AA99" s="829" t="e">
        <f t="shared" si="14"/>
        <v>#DIV/0!</v>
      </c>
      <c r="AB99" s="299" t="e">
        <f t="shared" si="12"/>
        <v>#DIV/0!</v>
      </c>
    </row>
    <row r="100" spans="1:28" ht="15.75">
      <c r="A100" s="300"/>
      <c r="B100" s="437" t="str">
        <f>'Development Costs'!C73</f>
        <v>Bond Issuance Cost</v>
      </c>
      <c r="C100" s="828">
        <f>'Development Costs'!I73</f>
        <v>0</v>
      </c>
      <c r="D100" s="838">
        <f>C100</f>
        <v>0</v>
      </c>
      <c r="E100" s="835"/>
      <c r="F100" s="835"/>
      <c r="G100" s="835"/>
      <c r="H100" s="835"/>
      <c r="I100" s="835"/>
      <c r="J100" s="835"/>
      <c r="K100" s="835"/>
      <c r="L100" s="835"/>
      <c r="M100" s="835"/>
      <c r="N100" s="835"/>
      <c r="O100" s="835"/>
      <c r="P100" s="835"/>
      <c r="Q100" s="835"/>
      <c r="R100" s="835"/>
      <c r="S100" s="835"/>
      <c r="T100" s="835"/>
      <c r="U100" s="835"/>
      <c r="V100" s="835"/>
      <c r="W100" s="835"/>
      <c r="X100" s="809"/>
      <c r="Y100" s="835"/>
      <c r="Z100" s="836"/>
      <c r="AA100" s="829">
        <f t="shared" si="14"/>
        <v>0</v>
      </c>
      <c r="AB100" s="299" t="str">
        <f t="shared" si="12"/>
        <v>ok</v>
      </c>
    </row>
    <row r="101" spans="1:28" ht="15.75">
      <c r="A101" s="300"/>
      <c r="B101" s="437" t="str">
        <f>'Development Costs'!C74</f>
        <v>Bond Counsel - Legal</v>
      </c>
      <c r="C101" s="828">
        <f>'Development Costs'!I74</f>
        <v>0</v>
      </c>
      <c r="D101" s="838">
        <f>C101</f>
        <v>0</v>
      </c>
      <c r="E101" s="835"/>
      <c r="F101" s="835"/>
      <c r="G101" s="835"/>
      <c r="H101" s="835"/>
      <c r="I101" s="835"/>
      <c r="J101" s="835"/>
      <c r="K101" s="835"/>
      <c r="L101" s="835"/>
      <c r="M101" s="835"/>
      <c r="N101" s="835"/>
      <c r="O101" s="835"/>
      <c r="P101" s="835"/>
      <c r="Q101" s="835"/>
      <c r="R101" s="835"/>
      <c r="S101" s="835"/>
      <c r="T101" s="835"/>
      <c r="U101" s="835"/>
      <c r="V101" s="835"/>
      <c r="W101" s="835"/>
      <c r="X101" s="809"/>
      <c r="Y101" s="835"/>
      <c r="Z101" s="836"/>
      <c r="AA101" s="829">
        <f t="shared" si="14"/>
        <v>0</v>
      </c>
      <c r="AB101" s="299" t="str">
        <f t="shared" ref="AB101:AB144" si="27">IF(AA101=C101,"ok","alert")</f>
        <v>ok</v>
      </c>
    </row>
    <row r="102" spans="1:28" ht="15.75">
      <c r="A102" s="300"/>
      <c r="B102" s="437" t="str">
        <f>'Development Costs'!C75</f>
        <v>Other Perm. Financing Costs</v>
      </c>
      <c r="C102" s="828">
        <f>'Development Costs'!I75</f>
        <v>0</v>
      </c>
      <c r="D102" s="838"/>
      <c r="E102" s="835"/>
      <c r="F102" s="835"/>
      <c r="G102" s="835"/>
      <c r="H102" s="835"/>
      <c r="I102" s="835"/>
      <c r="J102" s="835"/>
      <c r="K102" s="835"/>
      <c r="L102" s="835"/>
      <c r="M102" s="835"/>
      <c r="N102" s="835"/>
      <c r="O102" s="835"/>
      <c r="P102" s="835"/>
      <c r="Q102" s="835"/>
      <c r="R102" s="835"/>
      <c r="S102" s="835"/>
      <c r="T102" s="835"/>
      <c r="U102" s="835"/>
      <c r="V102" s="835"/>
      <c r="W102" s="835"/>
      <c r="X102" s="809">
        <f>C102</f>
        <v>0</v>
      </c>
      <c r="Y102" s="835"/>
      <c r="Z102" s="836"/>
      <c r="AA102" s="829">
        <f t="shared" ref="AA102:AA144" si="28">SUM(D102:Y102)</f>
        <v>0</v>
      </c>
      <c r="AB102" s="299" t="str">
        <f t="shared" si="27"/>
        <v>ok</v>
      </c>
    </row>
    <row r="103" spans="1:28" ht="15.75">
      <c r="A103" s="300"/>
      <c r="B103" s="326"/>
      <c r="C103" s="828"/>
      <c r="D103" s="838"/>
      <c r="E103" s="835"/>
      <c r="F103" s="835"/>
      <c r="G103" s="835"/>
      <c r="H103" s="835"/>
      <c r="I103" s="835"/>
      <c r="J103" s="835"/>
      <c r="K103" s="835"/>
      <c r="L103" s="835"/>
      <c r="M103" s="835"/>
      <c r="N103" s="835"/>
      <c r="O103" s="835"/>
      <c r="P103" s="835"/>
      <c r="Q103" s="835"/>
      <c r="R103" s="835"/>
      <c r="S103" s="835"/>
      <c r="T103" s="835"/>
      <c r="U103" s="835"/>
      <c r="V103" s="835"/>
      <c r="W103" s="835"/>
      <c r="X103" s="809"/>
      <c r="Y103" s="835"/>
      <c r="Z103" s="836"/>
      <c r="AA103" s="829"/>
      <c r="AB103" s="299"/>
    </row>
    <row r="104" spans="1:28" ht="15.75">
      <c r="A104" s="300"/>
      <c r="B104" s="438" t="str">
        <f>'Development Costs'!A78</f>
        <v>Other Project Costs</v>
      </c>
      <c r="C104" s="828"/>
      <c r="D104" s="838"/>
      <c r="E104" s="835"/>
      <c r="F104" s="835"/>
      <c r="G104" s="835"/>
      <c r="H104" s="835"/>
      <c r="I104" s="835"/>
      <c r="J104" s="835"/>
      <c r="K104" s="835"/>
      <c r="L104" s="835"/>
      <c r="M104" s="835"/>
      <c r="N104" s="835"/>
      <c r="O104" s="835"/>
      <c r="P104" s="835"/>
      <c r="Q104" s="835"/>
      <c r="R104" s="835"/>
      <c r="S104" s="835"/>
      <c r="T104" s="835"/>
      <c r="U104" s="835"/>
      <c r="V104" s="835"/>
      <c r="W104" s="835"/>
      <c r="X104" s="809"/>
      <c r="Y104" s="835"/>
      <c r="Z104" s="836"/>
      <c r="AA104" s="829"/>
      <c r="AB104" s="299"/>
    </row>
    <row r="105" spans="1:28" ht="15.75">
      <c r="A105" s="300"/>
      <c r="B105" s="437" t="str">
        <f>'Development Costs'!C79</f>
        <v>Owner/Developer Legal</v>
      </c>
      <c r="C105" s="828">
        <f>'Development Costs'!I79</f>
        <v>0</v>
      </c>
      <c r="D105" s="838">
        <f>C105</f>
        <v>0</v>
      </c>
      <c r="E105" s="835"/>
      <c r="F105" s="835"/>
      <c r="G105" s="835"/>
      <c r="H105" s="835"/>
      <c r="I105" s="835"/>
      <c r="J105" s="835"/>
      <c r="K105" s="835"/>
      <c r="L105" s="835"/>
      <c r="M105" s="835"/>
      <c r="N105" s="835"/>
      <c r="O105" s="835"/>
      <c r="P105" s="835"/>
      <c r="Q105" s="835"/>
      <c r="R105" s="835"/>
      <c r="S105" s="835"/>
      <c r="T105" s="835"/>
      <c r="U105" s="835"/>
      <c r="V105" s="835"/>
      <c r="W105" s="835"/>
      <c r="X105" s="809"/>
      <c r="Y105" s="835"/>
      <c r="Z105" s="836"/>
      <c r="AA105" s="829">
        <f t="shared" si="28"/>
        <v>0</v>
      </c>
      <c r="AB105" s="299" t="str">
        <f t="shared" si="27"/>
        <v>ok</v>
      </c>
    </row>
    <row r="106" spans="1:28" ht="15.75">
      <c r="A106" s="300"/>
      <c r="B106" s="437" t="str">
        <f>'Development Costs'!C80</f>
        <v>Regulatory Legal</v>
      </c>
      <c r="C106" s="828">
        <f>'Development Costs'!I80</f>
        <v>0</v>
      </c>
      <c r="D106" s="838">
        <f t="shared" ref="D106:D111" si="29">C106</f>
        <v>0</v>
      </c>
      <c r="E106" s="835"/>
      <c r="F106" s="835"/>
      <c r="G106" s="835"/>
      <c r="H106" s="835"/>
      <c r="I106" s="835"/>
      <c r="J106" s="835"/>
      <c r="K106" s="835"/>
      <c r="L106" s="835"/>
      <c r="M106" s="835"/>
      <c r="N106" s="835"/>
      <c r="O106" s="835"/>
      <c r="P106" s="835"/>
      <c r="Q106" s="835"/>
      <c r="R106" s="835"/>
      <c r="S106" s="835"/>
      <c r="T106" s="835"/>
      <c r="U106" s="835"/>
      <c r="V106" s="835"/>
      <c r="W106" s="835"/>
      <c r="X106" s="809"/>
      <c r="Y106" s="835"/>
      <c r="Z106" s="836"/>
      <c r="AA106" s="829">
        <f t="shared" si="28"/>
        <v>0</v>
      </c>
      <c r="AB106" s="299" t="str">
        <f t="shared" si="27"/>
        <v>ok</v>
      </c>
    </row>
    <row r="107" spans="1:28" ht="15.75">
      <c r="A107" s="300"/>
      <c r="B107" s="437" t="str">
        <f>'Development Costs'!C81</f>
        <v>Local Legal</v>
      </c>
      <c r="C107" s="828">
        <f>'Development Costs'!I81</f>
        <v>0</v>
      </c>
      <c r="D107" s="838">
        <f t="shared" si="29"/>
        <v>0</v>
      </c>
      <c r="E107" s="835"/>
      <c r="F107" s="835"/>
      <c r="G107" s="835"/>
      <c r="H107" s="835"/>
      <c r="I107" s="835"/>
      <c r="J107" s="835"/>
      <c r="K107" s="835"/>
      <c r="L107" s="835"/>
      <c r="M107" s="835"/>
      <c r="N107" s="835"/>
      <c r="O107" s="835"/>
      <c r="P107" s="835"/>
      <c r="Q107" s="835"/>
      <c r="R107" s="835"/>
      <c r="S107" s="835"/>
      <c r="T107" s="835"/>
      <c r="U107" s="835"/>
      <c r="V107" s="835"/>
      <c r="W107" s="835"/>
      <c r="X107" s="809"/>
      <c r="Y107" s="835"/>
      <c r="Z107" s="836"/>
      <c r="AA107" s="829">
        <f t="shared" si="28"/>
        <v>0</v>
      </c>
      <c r="AB107" s="299" t="str">
        <f t="shared" si="27"/>
        <v>ok</v>
      </c>
    </row>
    <row r="108" spans="1:28" ht="15.75">
      <c r="A108" s="300"/>
      <c r="B108" s="437" t="str">
        <f>'Development Costs'!C82</f>
        <v>Other Legal</v>
      </c>
      <c r="C108" s="828">
        <f>'Development Costs'!I82</f>
        <v>0</v>
      </c>
      <c r="D108" s="838">
        <f t="shared" si="29"/>
        <v>0</v>
      </c>
      <c r="E108" s="835"/>
      <c r="F108" s="835"/>
      <c r="G108" s="835"/>
      <c r="H108" s="835"/>
      <c r="I108" s="835"/>
      <c r="J108" s="835"/>
      <c r="K108" s="835"/>
      <c r="L108" s="835"/>
      <c r="M108" s="835"/>
      <c r="N108" s="835"/>
      <c r="O108" s="835"/>
      <c r="P108" s="835"/>
      <c r="Q108" s="835"/>
      <c r="R108" s="835"/>
      <c r="S108" s="835"/>
      <c r="T108" s="835"/>
      <c r="U108" s="835"/>
      <c r="V108" s="835"/>
      <c r="W108" s="835"/>
      <c r="X108" s="809"/>
      <c r="Y108" s="835"/>
      <c r="Z108" s="836"/>
      <c r="AA108" s="829">
        <f t="shared" si="28"/>
        <v>0</v>
      </c>
      <c r="AB108" s="299" t="str">
        <f t="shared" si="27"/>
        <v>ok</v>
      </c>
    </row>
    <row r="109" spans="1:28" ht="15.75">
      <c r="A109" s="300"/>
      <c r="B109" s="437" t="str">
        <f>'Development Costs'!C83</f>
        <v>Organization Costs</v>
      </c>
      <c r="C109" s="828">
        <f>'Development Costs'!I83</f>
        <v>0</v>
      </c>
      <c r="D109" s="838">
        <f t="shared" si="29"/>
        <v>0</v>
      </c>
      <c r="E109" s="835"/>
      <c r="F109" s="835"/>
      <c r="G109" s="835"/>
      <c r="H109" s="835"/>
      <c r="I109" s="835"/>
      <c r="J109" s="835"/>
      <c r="K109" s="835"/>
      <c r="L109" s="835"/>
      <c r="M109" s="835"/>
      <c r="N109" s="835"/>
      <c r="O109" s="835"/>
      <c r="P109" s="835"/>
      <c r="Q109" s="835"/>
      <c r="R109" s="835"/>
      <c r="S109" s="835"/>
      <c r="T109" s="835"/>
      <c r="U109" s="835"/>
      <c r="V109" s="835"/>
      <c r="W109" s="835"/>
      <c r="X109" s="809"/>
      <c r="Y109" s="835"/>
      <c r="Z109" s="836"/>
      <c r="AA109" s="829">
        <f t="shared" si="28"/>
        <v>0</v>
      </c>
      <c r="AB109" s="299" t="str">
        <f t="shared" si="27"/>
        <v>ok</v>
      </c>
    </row>
    <row r="110" spans="1:28" ht="15.75">
      <c r="A110" s="300"/>
      <c r="B110" s="437" t="str">
        <f>'Development Costs'!C84</f>
        <v>Syndicator Reimbursement</v>
      </c>
      <c r="C110" s="828">
        <f>'Development Costs'!I84</f>
        <v>0</v>
      </c>
      <c r="D110" s="838">
        <f t="shared" si="29"/>
        <v>0</v>
      </c>
      <c r="E110" s="835"/>
      <c r="F110" s="835"/>
      <c r="G110" s="835"/>
      <c r="H110" s="835"/>
      <c r="I110" s="835"/>
      <c r="J110" s="835"/>
      <c r="K110" s="835"/>
      <c r="L110" s="835"/>
      <c r="M110" s="835"/>
      <c r="N110" s="835"/>
      <c r="O110" s="835"/>
      <c r="P110" s="835"/>
      <c r="Q110" s="835"/>
      <c r="R110" s="835"/>
      <c r="S110" s="835"/>
      <c r="T110" s="835"/>
      <c r="U110" s="835"/>
      <c r="V110" s="835"/>
      <c r="W110" s="835"/>
      <c r="X110" s="809"/>
      <c r="Y110" s="835"/>
      <c r="Z110" s="836"/>
      <c r="AA110" s="829">
        <f t="shared" si="28"/>
        <v>0</v>
      </c>
      <c r="AB110" s="299" t="str">
        <f t="shared" si="27"/>
        <v>ok</v>
      </c>
    </row>
    <row r="111" spans="1:28" ht="15.75">
      <c r="A111" s="300"/>
      <c r="B111" s="437" t="str">
        <f>'Development Costs'!C85</f>
        <v xml:space="preserve">GP Loan </v>
      </c>
      <c r="C111" s="828">
        <f>'Development Costs'!I85</f>
        <v>0</v>
      </c>
      <c r="D111" s="838">
        <f t="shared" si="29"/>
        <v>0</v>
      </c>
      <c r="E111" s="835"/>
      <c r="F111" s="835"/>
      <c r="G111" s="835"/>
      <c r="H111" s="835"/>
      <c r="I111" s="835"/>
      <c r="J111" s="835"/>
      <c r="K111" s="835"/>
      <c r="L111" s="835"/>
      <c r="M111" s="835"/>
      <c r="N111" s="835"/>
      <c r="O111" s="835"/>
      <c r="P111" s="835"/>
      <c r="Q111" s="835"/>
      <c r="R111" s="835"/>
      <c r="S111" s="835"/>
      <c r="T111" s="835"/>
      <c r="U111" s="835"/>
      <c r="V111" s="835"/>
      <c r="W111" s="835"/>
      <c r="X111" s="809"/>
      <c r="Y111" s="835"/>
      <c r="Z111" s="836"/>
      <c r="AA111" s="829">
        <f t="shared" si="28"/>
        <v>0</v>
      </c>
      <c r="AB111" s="299" t="str">
        <f t="shared" si="27"/>
        <v>ok</v>
      </c>
    </row>
    <row r="112" spans="1:28" ht="15.75">
      <c r="A112" s="300"/>
      <c r="B112" s="437" t="str">
        <f>'Development Costs'!C86</f>
        <v xml:space="preserve">Owner's Contingency </v>
      </c>
      <c r="C112" s="828">
        <f>'Development Costs'!I86</f>
        <v>0</v>
      </c>
      <c r="D112" s="844"/>
      <c r="E112" s="845"/>
      <c r="F112" s="845"/>
      <c r="G112" s="845"/>
      <c r="H112" s="845"/>
      <c r="I112" s="845"/>
      <c r="J112" s="845"/>
      <c r="K112" s="845"/>
      <c r="L112" s="845"/>
      <c r="M112" s="845"/>
      <c r="N112" s="845"/>
      <c r="O112" s="845"/>
      <c r="P112" s="845"/>
      <c r="Q112" s="845"/>
      <c r="R112" s="845"/>
      <c r="S112" s="845"/>
      <c r="T112" s="845"/>
      <c r="U112" s="845"/>
      <c r="V112" s="845"/>
      <c r="W112" s="835"/>
      <c r="X112" s="809"/>
      <c r="Y112" s="835"/>
      <c r="Z112" s="836"/>
      <c r="AA112" s="829">
        <f t="shared" si="28"/>
        <v>0</v>
      </c>
      <c r="AB112" s="299" t="str">
        <f t="shared" si="27"/>
        <v>ok</v>
      </c>
    </row>
    <row r="113" spans="1:32" ht="15.75">
      <c r="A113" s="300"/>
      <c r="B113" s="437" t="str">
        <f>'Development Costs'!C87</f>
        <v>Additional Closing Costs</v>
      </c>
      <c r="C113" s="828">
        <f>'Development Costs'!I87</f>
        <v>0</v>
      </c>
      <c r="D113" s="838">
        <f>C113</f>
        <v>0</v>
      </c>
      <c r="E113" s="835"/>
      <c r="F113" s="835"/>
      <c r="G113" s="835"/>
      <c r="H113" s="835"/>
      <c r="I113" s="835"/>
      <c r="J113" s="835"/>
      <c r="K113" s="835"/>
      <c r="L113" s="835"/>
      <c r="M113" s="835"/>
      <c r="N113" s="835"/>
      <c r="O113" s="835"/>
      <c r="P113" s="835"/>
      <c r="Q113" s="835"/>
      <c r="R113" s="835"/>
      <c r="S113" s="835"/>
      <c r="T113" s="835"/>
      <c r="U113" s="835"/>
      <c r="V113" s="835"/>
      <c r="W113" s="835"/>
      <c r="X113" s="809"/>
      <c r="Y113" s="835"/>
      <c r="Z113" s="836"/>
      <c r="AA113" s="829">
        <f t="shared" si="28"/>
        <v>0</v>
      </c>
      <c r="AB113" s="299" t="str">
        <f t="shared" si="27"/>
        <v>ok</v>
      </c>
    </row>
    <row r="114" spans="1:32" ht="15.75">
      <c r="A114" s="300"/>
      <c r="B114" s="437" t="str">
        <f>'Development Costs'!C88</f>
        <v>GN Closing Fee</v>
      </c>
      <c r="C114" s="828">
        <f>'Development Costs'!I88</f>
        <v>0</v>
      </c>
      <c r="D114" s="838">
        <f t="shared" ref="D114:D116" si="30">C114</f>
        <v>0</v>
      </c>
      <c r="E114" s="827"/>
      <c r="F114" s="827"/>
      <c r="G114" s="827"/>
      <c r="H114" s="827"/>
      <c r="I114" s="827"/>
      <c r="J114" s="827"/>
      <c r="K114" s="827"/>
      <c r="L114" s="827"/>
      <c r="M114" s="827"/>
      <c r="N114" s="827"/>
      <c r="O114" s="827"/>
      <c r="P114" s="827"/>
      <c r="Q114" s="827"/>
      <c r="R114" s="827"/>
      <c r="S114" s="827"/>
      <c r="T114" s="827"/>
      <c r="U114" s="827"/>
      <c r="V114" s="827"/>
      <c r="W114" s="827"/>
      <c r="X114" s="807"/>
      <c r="Y114" s="827"/>
      <c r="Z114" s="828"/>
      <c r="AA114" s="829">
        <f t="shared" si="28"/>
        <v>0</v>
      </c>
      <c r="AB114" s="299" t="str">
        <f t="shared" si="27"/>
        <v>ok</v>
      </c>
    </row>
    <row r="115" spans="1:32" ht="15.75">
      <c r="A115" s="300"/>
      <c r="B115" s="437" t="str">
        <f>'Development Costs'!C89</f>
        <v>3rd Party Compliance (Initial TICs)</v>
      </c>
      <c r="C115" s="828">
        <f>'Development Costs'!I89</f>
        <v>800</v>
      </c>
      <c r="D115" s="838">
        <f>C115</f>
        <v>800</v>
      </c>
      <c r="E115" s="827"/>
      <c r="F115" s="827"/>
      <c r="G115" s="827"/>
      <c r="H115" s="827"/>
      <c r="I115" s="827"/>
      <c r="J115" s="827"/>
      <c r="K115" s="827"/>
      <c r="L115" s="827"/>
      <c r="M115" s="827"/>
      <c r="N115" s="827"/>
      <c r="O115" s="827"/>
      <c r="P115" s="827"/>
      <c r="Q115" s="827"/>
      <c r="R115" s="827"/>
      <c r="S115" s="827"/>
      <c r="T115" s="827"/>
      <c r="U115" s="827"/>
      <c r="V115" s="827"/>
      <c r="W115" s="827"/>
      <c r="X115" s="807"/>
      <c r="Y115" s="827"/>
      <c r="Z115" s="828"/>
      <c r="AA115" s="829">
        <f t="shared" si="28"/>
        <v>800</v>
      </c>
      <c r="AB115" s="299" t="str">
        <f t="shared" si="27"/>
        <v>ok</v>
      </c>
    </row>
    <row r="116" spans="1:32" ht="15.75">
      <c r="A116" s="300"/>
      <c r="B116" s="437" t="str">
        <f>'Development Costs'!C90</f>
        <v>Other Project Costs</v>
      </c>
      <c r="C116" s="828">
        <f>'Development Costs'!I90</f>
        <v>0</v>
      </c>
      <c r="D116" s="838">
        <f t="shared" si="30"/>
        <v>0</v>
      </c>
      <c r="E116" s="827"/>
      <c r="F116" s="827"/>
      <c r="G116" s="827"/>
      <c r="H116" s="827"/>
      <c r="I116" s="827"/>
      <c r="J116" s="827"/>
      <c r="K116" s="827"/>
      <c r="L116" s="827"/>
      <c r="M116" s="827"/>
      <c r="N116" s="827"/>
      <c r="O116" s="827"/>
      <c r="P116" s="827"/>
      <c r="Q116" s="827"/>
      <c r="R116" s="827"/>
      <c r="S116" s="827"/>
      <c r="T116" s="827"/>
      <c r="U116" s="827"/>
      <c r="V116" s="827"/>
      <c r="W116" s="827"/>
      <c r="X116" s="807"/>
      <c r="Y116" s="827"/>
      <c r="Z116" s="828"/>
      <c r="AA116" s="829">
        <f t="shared" si="28"/>
        <v>0</v>
      </c>
      <c r="AB116" s="299" t="str">
        <f t="shared" si="27"/>
        <v>ok</v>
      </c>
    </row>
    <row r="117" spans="1:32" ht="15.75">
      <c r="A117" s="300"/>
      <c r="B117" s="326"/>
      <c r="C117" s="828"/>
      <c r="D117" s="838"/>
      <c r="E117" s="840"/>
      <c r="F117" s="840"/>
      <c r="G117" s="834"/>
      <c r="H117" s="834"/>
      <c r="I117" s="834"/>
      <c r="J117" s="834"/>
      <c r="K117" s="834"/>
      <c r="L117" s="834"/>
      <c r="M117" s="834"/>
      <c r="N117" s="834"/>
      <c r="O117" s="834"/>
      <c r="P117" s="834"/>
      <c r="Q117" s="834"/>
      <c r="R117" s="834"/>
      <c r="S117" s="834"/>
      <c r="T117" s="834"/>
      <c r="U117" s="834"/>
      <c r="V117" s="834"/>
      <c r="W117" s="834"/>
      <c r="X117" s="810"/>
      <c r="Y117" s="835"/>
      <c r="Z117" s="836"/>
      <c r="AA117" s="829"/>
      <c r="AB117" s="299"/>
    </row>
    <row r="118" spans="1:32" ht="15.75">
      <c r="A118" s="300"/>
      <c r="B118" s="438" t="str">
        <f>'Development Costs'!A93</f>
        <v>Tax Credit Agency Fees</v>
      </c>
      <c r="C118" s="828"/>
      <c r="D118" s="838"/>
      <c r="E118" s="840"/>
      <c r="F118" s="840"/>
      <c r="G118" s="834"/>
      <c r="H118" s="834"/>
      <c r="I118" s="834"/>
      <c r="J118" s="834"/>
      <c r="K118" s="834"/>
      <c r="L118" s="834"/>
      <c r="M118" s="834"/>
      <c r="N118" s="834"/>
      <c r="O118" s="834"/>
      <c r="P118" s="834"/>
      <c r="Q118" s="834"/>
      <c r="R118" s="834"/>
      <c r="S118" s="834"/>
      <c r="T118" s="834"/>
      <c r="U118" s="834"/>
      <c r="V118" s="834"/>
      <c r="W118" s="834"/>
      <c r="X118" s="810"/>
      <c r="Y118" s="835"/>
      <c r="Z118" s="836"/>
      <c r="AA118" s="829"/>
      <c r="AB118" s="299"/>
    </row>
    <row r="119" spans="1:32" ht="15.75">
      <c r="A119" s="300"/>
      <c r="B119" s="437" t="str">
        <f>'Development Costs'!C94</f>
        <v>LIHTC Application Fee</v>
      </c>
      <c r="C119" s="828">
        <f>'Development Costs'!I94</f>
        <v>4040</v>
      </c>
      <c r="D119" s="846">
        <f>C119</f>
        <v>4040</v>
      </c>
      <c r="E119" s="847"/>
      <c r="F119" s="848"/>
      <c r="G119" s="849"/>
      <c r="H119" s="849"/>
      <c r="I119" s="849"/>
      <c r="J119" s="849"/>
      <c r="K119" s="849"/>
      <c r="L119" s="849"/>
      <c r="M119" s="849"/>
      <c r="N119" s="849"/>
      <c r="O119" s="849"/>
      <c r="P119" s="849"/>
      <c r="Q119" s="849"/>
      <c r="R119" s="849"/>
      <c r="S119" s="849"/>
      <c r="T119" s="849"/>
      <c r="U119" s="849"/>
      <c r="V119" s="849"/>
      <c r="W119" s="850"/>
      <c r="X119" s="811"/>
      <c r="Y119" s="850"/>
      <c r="Z119" s="851"/>
      <c r="AA119" s="829">
        <f t="shared" si="28"/>
        <v>4040</v>
      </c>
      <c r="AB119" s="299" t="str">
        <f t="shared" si="27"/>
        <v>ok</v>
      </c>
    </row>
    <row r="120" spans="1:32" ht="15.75">
      <c r="A120" s="300"/>
      <c r="B120" s="437" t="str">
        <f>'Development Costs'!C95</f>
        <v>LIHTC Reservation Fee</v>
      </c>
      <c r="C120" s="828" t="e">
        <f>'Development Costs'!I95</f>
        <v>#DIV/0!</v>
      </c>
      <c r="D120" s="846" t="e">
        <f t="shared" ref="D120:D121" si="31">C120</f>
        <v>#DIV/0!</v>
      </c>
      <c r="E120" s="848"/>
      <c r="F120" s="848"/>
      <c r="G120" s="849"/>
      <c r="H120" s="849"/>
      <c r="I120" s="849"/>
      <c r="J120" s="849"/>
      <c r="K120" s="849"/>
      <c r="L120" s="849"/>
      <c r="M120" s="849"/>
      <c r="N120" s="849"/>
      <c r="O120" s="849"/>
      <c r="P120" s="849"/>
      <c r="Q120" s="849"/>
      <c r="R120" s="849"/>
      <c r="S120" s="849"/>
      <c r="T120" s="849"/>
      <c r="U120" s="849"/>
      <c r="V120" s="849"/>
      <c r="W120" s="850"/>
      <c r="X120" s="811"/>
      <c r="Y120" s="850"/>
      <c r="Z120" s="851"/>
      <c r="AA120" s="829" t="e">
        <f t="shared" si="28"/>
        <v>#DIV/0!</v>
      </c>
      <c r="AB120" s="299" t="e">
        <f t="shared" si="27"/>
        <v>#DIV/0!</v>
      </c>
    </row>
    <row r="121" spans="1:32" ht="15.75">
      <c r="A121" s="300"/>
      <c r="B121" s="437" t="str">
        <f>'Development Costs'!C96</f>
        <v>LIHTC Commitment Fee</v>
      </c>
      <c r="C121" s="828">
        <f>'Development Costs'!I96</f>
        <v>0</v>
      </c>
      <c r="D121" s="846">
        <f t="shared" si="31"/>
        <v>0</v>
      </c>
      <c r="E121" s="848"/>
      <c r="F121" s="848"/>
      <c r="G121" s="849"/>
      <c r="H121" s="849"/>
      <c r="I121" s="849"/>
      <c r="J121" s="849"/>
      <c r="K121" s="849"/>
      <c r="L121" s="849"/>
      <c r="M121" s="849"/>
      <c r="N121" s="849"/>
      <c r="O121" s="849"/>
      <c r="P121" s="849"/>
      <c r="Q121" s="849"/>
      <c r="R121" s="849"/>
      <c r="S121" s="849"/>
      <c r="T121" s="849"/>
      <c r="U121" s="849"/>
      <c r="V121" s="849"/>
      <c r="W121" s="849"/>
      <c r="X121" s="811"/>
      <c r="Y121" s="850"/>
      <c r="Z121" s="851"/>
      <c r="AA121" s="829">
        <f t="shared" si="28"/>
        <v>0</v>
      </c>
      <c r="AB121" s="299" t="str">
        <f t="shared" si="27"/>
        <v>ok</v>
      </c>
    </row>
    <row r="122" spans="1:32" ht="15.75">
      <c r="A122" s="300"/>
      <c r="B122" s="437" t="str">
        <f>'Development Costs'!C97</f>
        <v>Compliance Monitoring Fee</v>
      </c>
      <c r="C122" s="828">
        <f>'Development Costs'!I97</f>
        <v>0</v>
      </c>
      <c r="D122" s="852"/>
      <c r="E122" s="853">
        <f>C122</f>
        <v>0</v>
      </c>
      <c r="F122" s="853"/>
      <c r="G122" s="853"/>
      <c r="H122" s="853"/>
      <c r="I122" s="853"/>
      <c r="J122" s="853"/>
      <c r="K122" s="853"/>
      <c r="L122" s="849"/>
      <c r="M122" s="849"/>
      <c r="N122" s="849"/>
      <c r="O122" s="849"/>
      <c r="P122" s="849"/>
      <c r="Q122" s="849"/>
      <c r="R122" s="849"/>
      <c r="S122" s="849"/>
      <c r="T122" s="849"/>
      <c r="U122" s="849"/>
      <c r="V122" s="849"/>
      <c r="W122" s="849"/>
      <c r="X122" s="811"/>
      <c r="Y122" s="850"/>
      <c r="Z122" s="851"/>
      <c r="AA122" s="829">
        <f t="shared" si="28"/>
        <v>0</v>
      </c>
      <c r="AB122" s="299" t="str">
        <f t="shared" si="27"/>
        <v>ok</v>
      </c>
      <c r="AF122" s="448"/>
    </row>
    <row r="123" spans="1:32" ht="15.75">
      <c r="A123" s="300"/>
      <c r="B123" s="437" t="str">
        <f>'Development Costs'!C98</f>
        <v>Other State Agency Fees</v>
      </c>
      <c r="C123" s="828">
        <f>'Development Costs'!I98</f>
        <v>0</v>
      </c>
      <c r="D123" s="854">
        <f>C123</f>
        <v>0</v>
      </c>
      <c r="E123" s="848"/>
      <c r="F123" s="848"/>
      <c r="G123" s="848"/>
      <c r="H123" s="848"/>
      <c r="I123" s="848"/>
      <c r="J123" s="848"/>
      <c r="K123" s="848"/>
      <c r="L123" s="848"/>
      <c r="M123" s="848"/>
      <c r="N123" s="848"/>
      <c r="O123" s="848"/>
      <c r="P123" s="848"/>
      <c r="Q123" s="848"/>
      <c r="R123" s="848"/>
      <c r="S123" s="848"/>
      <c r="T123" s="848"/>
      <c r="U123" s="848"/>
      <c r="V123" s="848"/>
      <c r="W123" s="850"/>
      <c r="X123" s="811"/>
      <c r="Y123" s="850"/>
      <c r="Z123" s="851"/>
      <c r="AA123" s="829">
        <f t="shared" si="28"/>
        <v>0</v>
      </c>
      <c r="AB123" s="299" t="str">
        <f t="shared" si="27"/>
        <v>ok</v>
      </c>
      <c r="AF123" s="448"/>
    </row>
    <row r="124" spans="1:32" ht="15.75">
      <c r="A124" s="300"/>
      <c r="B124" s="437" t="str">
        <f>'Development Costs'!C99</f>
        <v>Soft Source Funding Fees</v>
      </c>
      <c r="C124" s="828">
        <f>'Development Costs'!I99</f>
        <v>0</v>
      </c>
      <c r="D124" s="854">
        <f>C124</f>
        <v>0</v>
      </c>
      <c r="E124" s="848"/>
      <c r="F124" s="848"/>
      <c r="G124" s="848"/>
      <c r="H124" s="848"/>
      <c r="I124" s="848"/>
      <c r="J124" s="848"/>
      <c r="K124" s="848"/>
      <c r="L124" s="848"/>
      <c r="M124" s="848"/>
      <c r="N124" s="848"/>
      <c r="O124" s="848"/>
      <c r="P124" s="848"/>
      <c r="Q124" s="848"/>
      <c r="R124" s="848"/>
      <c r="S124" s="848"/>
      <c r="T124" s="848"/>
      <c r="U124" s="848"/>
      <c r="V124" s="848"/>
      <c r="W124" s="850"/>
      <c r="X124" s="811"/>
      <c r="Y124" s="850"/>
      <c r="Z124" s="851"/>
      <c r="AA124" s="829">
        <f t="shared" si="28"/>
        <v>0</v>
      </c>
      <c r="AB124" s="299" t="str">
        <f t="shared" si="27"/>
        <v>ok</v>
      </c>
      <c r="AF124" s="448"/>
    </row>
    <row r="125" spans="1:32" ht="15.75">
      <c r="A125" s="300"/>
      <c r="B125" s="326"/>
      <c r="C125" s="828"/>
      <c r="D125" s="854"/>
      <c r="E125" s="849"/>
      <c r="F125" s="849"/>
      <c r="G125" s="849"/>
      <c r="H125" s="849"/>
      <c r="I125" s="849"/>
      <c r="J125" s="849"/>
      <c r="K125" s="849"/>
      <c r="L125" s="849"/>
      <c r="M125" s="849"/>
      <c r="N125" s="849"/>
      <c r="O125" s="849"/>
      <c r="P125" s="849"/>
      <c r="Q125" s="849"/>
      <c r="R125" s="849"/>
      <c r="S125" s="849"/>
      <c r="T125" s="849"/>
      <c r="U125" s="849"/>
      <c r="V125" s="849"/>
      <c r="W125" s="850"/>
      <c r="X125" s="811"/>
      <c r="Y125" s="850"/>
      <c r="Z125" s="851"/>
      <c r="AA125" s="829"/>
      <c r="AB125" s="299"/>
    </row>
    <row r="126" spans="1:32" ht="15.75">
      <c r="A126" s="300"/>
      <c r="B126" s="438" t="str">
        <f>'Development Costs'!A102</f>
        <v>Capitalized Costs - 12 Mos.</v>
      </c>
      <c r="C126" s="828"/>
      <c r="D126" s="854"/>
      <c r="E126" s="849"/>
      <c r="F126" s="849"/>
      <c r="G126" s="849"/>
      <c r="H126" s="849"/>
      <c r="I126" s="849"/>
      <c r="J126" s="849"/>
      <c r="K126" s="849"/>
      <c r="L126" s="849"/>
      <c r="M126" s="849"/>
      <c r="N126" s="849"/>
      <c r="O126" s="849"/>
      <c r="P126" s="849"/>
      <c r="Q126" s="849"/>
      <c r="R126" s="849"/>
      <c r="S126" s="849"/>
      <c r="T126" s="849"/>
      <c r="U126" s="849"/>
      <c r="V126" s="849"/>
      <c r="W126" s="850"/>
      <c r="X126" s="811"/>
      <c r="Y126" s="850"/>
      <c r="Z126" s="851"/>
      <c r="AA126" s="829"/>
      <c r="AB126" s="299"/>
    </row>
    <row r="127" spans="1:32" ht="15.75">
      <c r="A127" s="300"/>
      <c r="B127" s="437" t="str">
        <f>'Development Costs'!C103</f>
        <v>Constr. Period Interest</v>
      </c>
      <c r="C127" s="828" t="e">
        <f>'Development Costs'!I103</f>
        <v>#DIV/0!</v>
      </c>
      <c r="D127" s="854" t="e">
        <f>C127</f>
        <v>#DIV/0!</v>
      </c>
      <c r="E127" s="849"/>
      <c r="F127" s="849"/>
      <c r="G127" s="849"/>
      <c r="H127" s="849"/>
      <c r="I127" s="849"/>
      <c r="J127" s="849"/>
      <c r="K127" s="849"/>
      <c r="L127" s="849"/>
      <c r="M127" s="849"/>
      <c r="N127" s="849"/>
      <c r="O127" s="849"/>
      <c r="P127" s="849"/>
      <c r="Q127" s="849"/>
      <c r="R127" s="849"/>
      <c r="S127" s="849"/>
      <c r="T127" s="849"/>
      <c r="U127" s="849"/>
      <c r="V127" s="849"/>
      <c r="W127" s="850"/>
      <c r="X127" s="811"/>
      <c r="Y127" s="850"/>
      <c r="Z127" s="851"/>
      <c r="AA127" s="829" t="e">
        <f t="shared" si="28"/>
        <v>#DIV/0!</v>
      </c>
      <c r="AB127" s="299" t="e">
        <f t="shared" si="27"/>
        <v>#DIV/0!</v>
      </c>
    </row>
    <row r="128" spans="1:32" ht="15.75">
      <c r="A128" s="300"/>
      <c r="B128" s="437" t="str">
        <f>'Development Costs'!C104</f>
        <v>Negative Arbitrage</v>
      </c>
      <c r="C128" s="828">
        <f>'Development Costs'!I104</f>
        <v>0</v>
      </c>
      <c r="D128" s="854">
        <f>C128</f>
        <v>0</v>
      </c>
      <c r="E128" s="849"/>
      <c r="F128" s="849"/>
      <c r="G128" s="849"/>
      <c r="H128" s="849"/>
      <c r="I128" s="849"/>
      <c r="J128" s="849"/>
      <c r="K128" s="849"/>
      <c r="L128" s="849"/>
      <c r="M128" s="849"/>
      <c r="N128" s="849"/>
      <c r="O128" s="849"/>
      <c r="P128" s="849"/>
      <c r="Q128" s="849"/>
      <c r="R128" s="849"/>
      <c r="S128" s="849"/>
      <c r="T128" s="849"/>
      <c r="U128" s="849"/>
      <c r="V128" s="849"/>
      <c r="W128" s="850"/>
      <c r="X128" s="811"/>
      <c r="Y128" s="850"/>
      <c r="Z128" s="851"/>
      <c r="AA128" s="829">
        <f t="shared" si="28"/>
        <v>0</v>
      </c>
      <c r="AB128" s="299" t="str">
        <f t="shared" si="27"/>
        <v>ok</v>
      </c>
    </row>
    <row r="129" spans="1:32" ht="15.75">
      <c r="A129" s="300"/>
      <c r="B129" s="437" t="str">
        <f>'Development Costs'!C105</f>
        <v>Taxes</v>
      </c>
      <c r="C129" s="828">
        <f>'Development Costs'!I105</f>
        <v>0</v>
      </c>
      <c r="D129" s="854">
        <f>C129</f>
        <v>0</v>
      </c>
      <c r="E129" s="849"/>
      <c r="F129" s="849"/>
      <c r="G129" s="849"/>
      <c r="H129" s="849"/>
      <c r="I129" s="849"/>
      <c r="J129" s="849"/>
      <c r="K129" s="849"/>
      <c r="L129" s="849"/>
      <c r="M129" s="849"/>
      <c r="N129" s="849"/>
      <c r="O129" s="849"/>
      <c r="P129" s="849"/>
      <c r="Q129" s="849"/>
      <c r="R129" s="849"/>
      <c r="S129" s="849"/>
      <c r="T129" s="849"/>
      <c r="U129" s="849"/>
      <c r="V129" s="849"/>
      <c r="W129" s="850"/>
      <c r="X129" s="811"/>
      <c r="Y129" s="850"/>
      <c r="Z129" s="851"/>
      <c r="AA129" s="829">
        <f t="shared" si="28"/>
        <v>0</v>
      </c>
      <c r="AB129" s="299" t="str">
        <f t="shared" si="27"/>
        <v>ok</v>
      </c>
    </row>
    <row r="130" spans="1:32" ht="15.75">
      <c r="A130" s="300"/>
      <c r="B130" s="437" t="str">
        <f>'Development Costs'!C106</f>
        <v>Insurance</v>
      </c>
      <c r="C130" s="828">
        <f>'Development Costs'!I106</f>
        <v>0</v>
      </c>
      <c r="D130" s="854">
        <f t="shared" ref="D130:D132" si="32">C130</f>
        <v>0</v>
      </c>
      <c r="E130" s="849"/>
      <c r="F130" s="849"/>
      <c r="G130" s="849"/>
      <c r="H130" s="849"/>
      <c r="I130" s="849"/>
      <c r="J130" s="849"/>
      <c r="K130" s="849"/>
      <c r="L130" s="849"/>
      <c r="M130" s="849"/>
      <c r="N130" s="849"/>
      <c r="O130" s="849"/>
      <c r="P130" s="849"/>
      <c r="Q130" s="849"/>
      <c r="R130" s="849"/>
      <c r="S130" s="849"/>
      <c r="T130" s="849"/>
      <c r="U130" s="849"/>
      <c r="V130" s="849"/>
      <c r="W130" s="850"/>
      <c r="X130" s="811"/>
      <c r="Y130" s="850"/>
      <c r="Z130" s="851"/>
      <c r="AA130" s="829">
        <f t="shared" si="28"/>
        <v>0</v>
      </c>
      <c r="AB130" s="299" t="str">
        <f t="shared" si="27"/>
        <v>ok</v>
      </c>
    </row>
    <row r="131" spans="1:32" ht="15.75">
      <c r="A131" s="300"/>
      <c r="B131" s="437" t="str">
        <f>'Development Costs'!C107</f>
        <v>Investor Asset Mgmt. Fees</v>
      </c>
      <c r="C131" s="828">
        <f>'Development Costs'!I107</f>
        <v>0</v>
      </c>
      <c r="D131" s="854">
        <f t="shared" si="32"/>
        <v>0</v>
      </c>
      <c r="E131" s="849"/>
      <c r="F131" s="849"/>
      <c r="G131" s="849"/>
      <c r="H131" s="849"/>
      <c r="I131" s="849"/>
      <c r="J131" s="849"/>
      <c r="K131" s="849"/>
      <c r="L131" s="849"/>
      <c r="M131" s="849"/>
      <c r="N131" s="849"/>
      <c r="O131" s="849"/>
      <c r="P131" s="849"/>
      <c r="Q131" s="849"/>
      <c r="R131" s="849"/>
      <c r="S131" s="849"/>
      <c r="T131" s="849"/>
      <c r="U131" s="849"/>
      <c r="V131" s="849"/>
      <c r="W131" s="850"/>
      <c r="X131" s="811"/>
      <c r="Y131" s="850"/>
      <c r="Z131" s="851"/>
      <c r="AA131" s="829">
        <f t="shared" si="28"/>
        <v>0</v>
      </c>
      <c r="AB131" s="299" t="str">
        <f t="shared" si="27"/>
        <v>ok</v>
      </c>
    </row>
    <row r="132" spans="1:32" ht="15.75">
      <c r="A132" s="300"/>
      <c r="B132" s="437" t="str">
        <f>'Development Costs'!C108</f>
        <v>Support Services Costs</v>
      </c>
      <c r="C132" s="828">
        <f>'Development Costs'!I108</f>
        <v>0</v>
      </c>
      <c r="D132" s="854">
        <f t="shared" si="32"/>
        <v>0</v>
      </c>
      <c r="E132" s="849"/>
      <c r="F132" s="849"/>
      <c r="G132" s="849"/>
      <c r="H132" s="849"/>
      <c r="I132" s="849"/>
      <c r="J132" s="849"/>
      <c r="K132" s="849"/>
      <c r="L132" s="849"/>
      <c r="M132" s="849"/>
      <c r="N132" s="849"/>
      <c r="O132" s="849"/>
      <c r="P132" s="849"/>
      <c r="Q132" s="849"/>
      <c r="R132" s="849"/>
      <c r="S132" s="849"/>
      <c r="T132" s="849"/>
      <c r="U132" s="849"/>
      <c r="V132" s="849"/>
      <c r="W132" s="850"/>
      <c r="X132" s="811"/>
      <c r="Y132" s="850"/>
      <c r="Z132" s="851"/>
      <c r="AA132" s="829">
        <f t="shared" si="28"/>
        <v>0</v>
      </c>
      <c r="AB132" s="299" t="str">
        <f t="shared" si="27"/>
        <v>ok</v>
      </c>
    </row>
    <row r="133" spans="1:32" ht="15.75">
      <c r="A133" s="300"/>
      <c r="B133" s="326"/>
      <c r="C133" s="828"/>
      <c r="D133" s="854"/>
      <c r="E133" s="849"/>
      <c r="F133" s="849"/>
      <c r="G133" s="849"/>
      <c r="H133" s="849"/>
      <c r="I133" s="849"/>
      <c r="J133" s="849"/>
      <c r="K133" s="849"/>
      <c r="L133" s="849"/>
      <c r="M133" s="849"/>
      <c r="N133" s="849"/>
      <c r="O133" s="849"/>
      <c r="P133" s="849"/>
      <c r="Q133" s="849"/>
      <c r="R133" s="849"/>
      <c r="S133" s="849"/>
      <c r="T133" s="849"/>
      <c r="U133" s="849"/>
      <c r="V133" s="849"/>
      <c r="W133" s="850"/>
      <c r="X133" s="811"/>
      <c r="Y133" s="850"/>
      <c r="Z133" s="851"/>
      <c r="AA133" s="829"/>
      <c r="AB133" s="299"/>
    </row>
    <row r="134" spans="1:32" ht="15.75">
      <c r="A134" s="300"/>
      <c r="B134" s="438" t="str">
        <f>'Development Costs'!A111</f>
        <v>Reserves</v>
      </c>
      <c r="C134" s="828"/>
      <c r="D134" s="854"/>
      <c r="E134" s="849"/>
      <c r="F134" s="849"/>
      <c r="G134" s="849"/>
      <c r="H134" s="849"/>
      <c r="I134" s="849"/>
      <c r="J134" s="849"/>
      <c r="K134" s="849"/>
      <c r="L134" s="849"/>
      <c r="M134" s="849"/>
      <c r="N134" s="849"/>
      <c r="O134" s="849"/>
      <c r="P134" s="849"/>
      <c r="Q134" s="849"/>
      <c r="R134" s="849"/>
      <c r="S134" s="849"/>
      <c r="T134" s="849"/>
      <c r="U134" s="849"/>
      <c r="V134" s="849"/>
      <c r="W134" s="850"/>
      <c r="X134" s="811"/>
      <c r="Y134" s="850"/>
      <c r="Z134" s="851"/>
      <c r="AA134" s="829"/>
      <c r="AB134" s="299"/>
    </row>
    <row r="135" spans="1:32" ht="15.75">
      <c r="A135" s="300"/>
      <c r="B135" s="437" t="str">
        <f>'Development Costs'!C112</f>
        <v>Operating Deficit Reserve</v>
      </c>
      <c r="C135" s="828" t="e">
        <f>'Development Costs'!I112</f>
        <v>#DIV/0!</v>
      </c>
      <c r="D135" s="852"/>
      <c r="E135" s="853"/>
      <c r="F135" s="853"/>
      <c r="G135" s="853"/>
      <c r="H135" s="853"/>
      <c r="I135" s="853"/>
      <c r="J135" s="853"/>
      <c r="K135" s="853"/>
      <c r="L135" s="853"/>
      <c r="M135" s="853"/>
      <c r="N135" s="853"/>
      <c r="O135" s="853"/>
      <c r="P135" s="853"/>
      <c r="Q135" s="853"/>
      <c r="R135" s="853"/>
      <c r="S135" s="853"/>
      <c r="T135" s="853"/>
      <c r="U135" s="853"/>
      <c r="V135" s="853"/>
      <c r="W135" s="855"/>
      <c r="X135" s="812" t="e">
        <f>C135</f>
        <v>#DIV/0!</v>
      </c>
      <c r="Y135" s="850"/>
      <c r="Z135" s="851"/>
      <c r="AA135" s="829" t="e">
        <f t="shared" si="28"/>
        <v>#DIV/0!</v>
      </c>
      <c r="AB135" s="299" t="e">
        <f t="shared" si="27"/>
        <v>#DIV/0!</v>
      </c>
    </row>
    <row r="136" spans="1:32" ht="15.75">
      <c r="A136" s="300"/>
      <c r="B136" s="437" t="str">
        <f>'Development Costs'!C113</f>
        <v>Debt Reserves</v>
      </c>
      <c r="C136" s="828" t="e">
        <f>'Development Costs'!I113</f>
        <v>#DIV/0!</v>
      </c>
      <c r="D136" s="854" t="e">
        <f>C136</f>
        <v>#DIV/0!</v>
      </c>
      <c r="E136" s="849"/>
      <c r="F136" s="849"/>
      <c r="G136" s="849"/>
      <c r="H136" s="849"/>
      <c r="I136" s="849"/>
      <c r="J136" s="849"/>
      <c r="K136" s="849"/>
      <c r="L136" s="849"/>
      <c r="M136" s="849"/>
      <c r="N136" s="849"/>
      <c r="O136" s="849"/>
      <c r="P136" s="849"/>
      <c r="Q136" s="849"/>
      <c r="R136" s="849"/>
      <c r="S136" s="849"/>
      <c r="T136" s="849"/>
      <c r="U136" s="849"/>
      <c r="V136" s="849"/>
      <c r="W136" s="850"/>
      <c r="X136" s="811"/>
      <c r="Y136" s="850"/>
      <c r="Z136" s="851"/>
      <c r="AA136" s="829" t="e">
        <f t="shared" si="28"/>
        <v>#DIV/0!</v>
      </c>
      <c r="AB136" s="299" t="e">
        <f t="shared" si="27"/>
        <v>#DIV/0!</v>
      </c>
    </row>
    <row r="137" spans="1:32" ht="15.75">
      <c r="A137" s="300"/>
      <c r="B137" s="437" t="str">
        <f>'Development Costs'!C114</f>
        <v>Capitalized Replacement Reserve</v>
      </c>
      <c r="C137" s="828">
        <f>'Development Costs'!I114</f>
        <v>0</v>
      </c>
      <c r="D137" s="854">
        <f t="shared" ref="D137:D138" si="33">C137</f>
        <v>0</v>
      </c>
      <c r="E137" s="849"/>
      <c r="F137" s="849"/>
      <c r="G137" s="849"/>
      <c r="H137" s="849"/>
      <c r="I137" s="849"/>
      <c r="J137" s="849"/>
      <c r="K137" s="849"/>
      <c r="L137" s="849"/>
      <c r="M137" s="849"/>
      <c r="N137" s="849"/>
      <c r="O137" s="849"/>
      <c r="P137" s="849"/>
      <c r="Q137" s="849"/>
      <c r="R137" s="849"/>
      <c r="S137" s="849"/>
      <c r="T137" s="849"/>
      <c r="U137" s="849"/>
      <c r="V137" s="849"/>
      <c r="W137" s="850"/>
      <c r="X137" s="811"/>
      <c r="Y137" s="850"/>
      <c r="Z137" s="851"/>
      <c r="AA137" s="829">
        <f t="shared" si="28"/>
        <v>0</v>
      </c>
      <c r="AB137" s="299" t="str">
        <f t="shared" si="27"/>
        <v>ok</v>
      </c>
    </row>
    <row r="138" spans="1:32" ht="15.75">
      <c r="A138" s="300"/>
      <c r="B138" s="437" t="str">
        <f>'Development Costs'!C115</f>
        <v>Other Reserves</v>
      </c>
      <c r="C138" s="828">
        <f>'Development Costs'!I115</f>
        <v>0</v>
      </c>
      <c r="D138" s="854">
        <f t="shared" si="33"/>
        <v>0</v>
      </c>
      <c r="E138" s="849"/>
      <c r="F138" s="849"/>
      <c r="G138" s="849"/>
      <c r="H138" s="849"/>
      <c r="I138" s="849"/>
      <c r="J138" s="849"/>
      <c r="K138" s="849"/>
      <c r="L138" s="849"/>
      <c r="M138" s="849"/>
      <c r="N138" s="849"/>
      <c r="O138" s="849"/>
      <c r="P138" s="849"/>
      <c r="Q138" s="849"/>
      <c r="R138" s="849"/>
      <c r="S138" s="849"/>
      <c r="T138" s="849"/>
      <c r="U138" s="849"/>
      <c r="V138" s="849"/>
      <c r="W138" s="850"/>
      <c r="X138" s="811"/>
      <c r="Y138" s="850"/>
      <c r="Z138" s="851"/>
      <c r="AA138" s="829">
        <f t="shared" si="28"/>
        <v>0</v>
      </c>
      <c r="AB138" s="299" t="str">
        <f t="shared" si="27"/>
        <v>ok</v>
      </c>
    </row>
    <row r="139" spans="1:32" ht="15.75">
      <c r="A139" s="300"/>
      <c r="B139" s="326"/>
      <c r="C139" s="828"/>
      <c r="D139" s="854"/>
      <c r="E139" s="849"/>
      <c r="F139" s="849"/>
      <c r="G139" s="849"/>
      <c r="H139" s="849"/>
      <c r="I139" s="849"/>
      <c r="J139" s="849"/>
      <c r="K139" s="849"/>
      <c r="L139" s="849"/>
      <c r="M139" s="849"/>
      <c r="N139" s="849"/>
      <c r="O139" s="849"/>
      <c r="P139" s="849"/>
      <c r="Q139" s="849"/>
      <c r="R139" s="849"/>
      <c r="S139" s="849"/>
      <c r="T139" s="849"/>
      <c r="U139" s="849"/>
      <c r="V139" s="849"/>
      <c r="W139" s="850"/>
      <c r="X139" s="811"/>
      <c r="Y139" s="850"/>
      <c r="Z139" s="851"/>
      <c r="AA139" s="829"/>
      <c r="AB139" s="299"/>
    </row>
    <row r="140" spans="1:32" ht="15.75">
      <c r="A140" s="300"/>
      <c r="B140" s="438" t="str">
        <f>'Development Costs'!A121</f>
        <v>Developer Fee</v>
      </c>
      <c r="C140" s="828"/>
      <c r="D140" s="854"/>
      <c r="E140" s="849"/>
      <c r="F140" s="849"/>
      <c r="G140" s="849"/>
      <c r="H140" s="849"/>
      <c r="I140" s="849"/>
      <c r="J140" s="849"/>
      <c r="K140" s="849"/>
      <c r="L140" s="849"/>
      <c r="M140" s="849"/>
      <c r="N140" s="849"/>
      <c r="O140" s="849"/>
      <c r="P140" s="849"/>
      <c r="Q140" s="849"/>
      <c r="R140" s="849"/>
      <c r="S140" s="849"/>
      <c r="T140" s="849"/>
      <c r="U140" s="849"/>
      <c r="V140" s="849"/>
      <c r="W140" s="850"/>
      <c r="X140" s="811"/>
      <c r="Y140" s="850"/>
      <c r="Z140" s="851"/>
      <c r="AA140" s="829"/>
      <c r="AB140" s="299"/>
    </row>
    <row r="141" spans="1:32" ht="15.75">
      <c r="A141" s="300"/>
      <c r="B141" s="437" t="s">
        <v>947</v>
      </c>
      <c r="C141" s="828">
        <f>'Development Costs'!P121</f>
        <v>0</v>
      </c>
      <c r="D141" s="854">
        <f>C141</f>
        <v>0</v>
      </c>
      <c r="E141" s="848"/>
      <c r="F141" s="848"/>
      <c r="G141" s="848"/>
      <c r="H141" s="848"/>
      <c r="I141" s="848"/>
      <c r="J141" s="848"/>
      <c r="K141" s="848"/>
      <c r="L141" s="848"/>
      <c r="M141" s="848"/>
      <c r="N141" s="848"/>
      <c r="O141" s="848"/>
      <c r="P141" s="848"/>
      <c r="Q141" s="848"/>
      <c r="R141" s="848"/>
      <c r="S141" s="848"/>
      <c r="T141" s="848"/>
      <c r="U141" s="848"/>
      <c r="V141" s="848"/>
      <c r="W141" s="850"/>
      <c r="X141" s="811"/>
      <c r="Y141" s="850"/>
      <c r="Z141" s="851"/>
      <c r="AA141" s="829">
        <f t="shared" si="28"/>
        <v>0</v>
      </c>
      <c r="AB141" s="299" t="str">
        <f t="shared" si="27"/>
        <v>ok</v>
      </c>
      <c r="AF141" s="448"/>
    </row>
    <row r="142" spans="1:32" ht="15.75">
      <c r="A142" s="300"/>
      <c r="B142" s="437" t="s">
        <v>948</v>
      </c>
      <c r="C142" s="828">
        <f>'Development Costs'!R121</f>
        <v>0</v>
      </c>
      <c r="D142" s="854">
        <f t="shared" ref="D142:Y142" si="34">$C$142*D14</f>
        <v>0</v>
      </c>
      <c r="E142" s="854">
        <f t="shared" si="34"/>
        <v>0</v>
      </c>
      <c r="F142" s="849">
        <f t="shared" si="34"/>
        <v>0</v>
      </c>
      <c r="G142" s="849">
        <f t="shared" si="34"/>
        <v>0</v>
      </c>
      <c r="H142" s="849">
        <f t="shared" si="34"/>
        <v>0</v>
      </c>
      <c r="I142" s="849">
        <f t="shared" si="34"/>
        <v>0</v>
      </c>
      <c r="J142" s="849">
        <f t="shared" si="34"/>
        <v>0</v>
      </c>
      <c r="K142" s="849">
        <f t="shared" si="34"/>
        <v>0</v>
      </c>
      <c r="L142" s="849">
        <f t="shared" si="34"/>
        <v>0</v>
      </c>
      <c r="M142" s="849">
        <f t="shared" si="34"/>
        <v>0</v>
      </c>
      <c r="N142" s="849">
        <f t="shared" si="34"/>
        <v>0</v>
      </c>
      <c r="O142" s="849">
        <f t="shared" si="34"/>
        <v>0</v>
      </c>
      <c r="P142" s="849">
        <f t="shared" si="34"/>
        <v>0</v>
      </c>
      <c r="Q142" s="849">
        <f t="shared" si="34"/>
        <v>0</v>
      </c>
      <c r="R142" s="849">
        <f t="shared" si="34"/>
        <v>0</v>
      </c>
      <c r="S142" s="849">
        <f t="shared" si="34"/>
        <v>0</v>
      </c>
      <c r="T142" s="849">
        <f t="shared" si="34"/>
        <v>0</v>
      </c>
      <c r="U142" s="849">
        <f t="shared" si="34"/>
        <v>0</v>
      </c>
      <c r="V142" s="849">
        <f t="shared" si="34"/>
        <v>0</v>
      </c>
      <c r="W142" s="849">
        <f t="shared" si="34"/>
        <v>0</v>
      </c>
      <c r="X142" s="850">
        <f t="shared" si="34"/>
        <v>0</v>
      </c>
      <c r="Y142" s="811">
        <f t="shared" si="34"/>
        <v>0</v>
      </c>
      <c r="Z142" s="850"/>
      <c r="AA142" s="829">
        <f t="shared" si="28"/>
        <v>0</v>
      </c>
      <c r="AB142" s="299" t="str">
        <f t="shared" si="27"/>
        <v>ok</v>
      </c>
    </row>
    <row r="143" spans="1:32" ht="15.75">
      <c r="A143" s="300"/>
      <c r="B143" s="326"/>
      <c r="C143" s="825"/>
      <c r="D143" s="856"/>
      <c r="E143" s="827"/>
      <c r="F143" s="827"/>
      <c r="G143" s="827"/>
      <c r="H143" s="827"/>
      <c r="I143" s="827"/>
      <c r="J143" s="827"/>
      <c r="K143" s="827"/>
      <c r="L143" s="827"/>
      <c r="M143" s="827"/>
      <c r="N143" s="827"/>
      <c r="O143" s="827"/>
      <c r="P143" s="827"/>
      <c r="Q143" s="827"/>
      <c r="R143" s="827"/>
      <c r="S143" s="827"/>
      <c r="T143" s="827"/>
      <c r="U143" s="827"/>
      <c r="V143" s="827"/>
      <c r="W143" s="857"/>
      <c r="X143" s="835"/>
      <c r="Y143" s="850"/>
      <c r="Z143" s="851"/>
      <c r="AA143" s="829">
        <f t="shared" si="28"/>
        <v>0</v>
      </c>
      <c r="AB143" s="299" t="str">
        <f t="shared" si="27"/>
        <v>ok</v>
      </c>
    </row>
    <row r="144" spans="1:32" ht="16.5" thickBot="1">
      <c r="A144" s="300"/>
      <c r="B144" s="698" t="s">
        <v>949</v>
      </c>
      <c r="C144" s="858" t="e">
        <f>SUM(D144:Y144)</f>
        <v>#DIV/0!</v>
      </c>
      <c r="D144" s="859"/>
      <c r="E144" s="860"/>
      <c r="F144" s="860"/>
      <c r="G144" s="860"/>
      <c r="H144" s="860"/>
      <c r="I144" s="860"/>
      <c r="J144" s="860"/>
      <c r="K144" s="860"/>
      <c r="L144" s="860"/>
      <c r="M144" s="860"/>
      <c r="N144" s="860"/>
      <c r="O144" s="860"/>
      <c r="P144" s="860"/>
      <c r="Q144" s="860"/>
      <c r="R144" s="860"/>
      <c r="S144" s="860"/>
      <c r="T144" s="860"/>
      <c r="U144" s="860"/>
      <c r="V144" s="860"/>
      <c r="W144" s="861" t="e">
        <f>W30-SUM(W35:W143)</f>
        <v>#DIV/0!</v>
      </c>
      <c r="X144" s="861" t="e">
        <f>X30-SUM(X35:X143)</f>
        <v>#DIV/0!</v>
      </c>
      <c r="Y144" s="861" t="e">
        <f>Y30-SUM(Y35:Y143)</f>
        <v>#DIV/0!</v>
      </c>
      <c r="Z144" s="862"/>
      <c r="AA144" s="863" t="e">
        <f t="shared" si="28"/>
        <v>#DIV/0!</v>
      </c>
      <c r="AB144" s="299" t="e">
        <f t="shared" si="27"/>
        <v>#DIV/0!</v>
      </c>
    </row>
    <row r="145" spans="1:32" ht="15.75">
      <c r="A145" s="300"/>
      <c r="B145" s="298"/>
      <c r="C145" s="327"/>
      <c r="D145" s="415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8"/>
      <c r="Y145" s="327"/>
      <c r="Z145" s="327"/>
      <c r="AA145" s="412"/>
      <c r="AB145" s="329" t="str">
        <f t="shared" ref="AB145" si="35">IF(AA145=C145," ",C145-AA145)</f>
        <v xml:space="preserve"> </v>
      </c>
    </row>
    <row r="146" spans="1:32" ht="16.5" thickBot="1">
      <c r="A146" s="300"/>
      <c r="B146" s="442" t="s">
        <v>272</v>
      </c>
      <c r="C146" s="818" t="e">
        <f>ROUND(SUM(C35:C144),0)</f>
        <v>#DIV/0!</v>
      </c>
      <c r="D146" s="819" t="e">
        <f t="shared" ref="D146:E146" si="36">ROUND(SUM(D35:D144),0)</f>
        <v>#DIV/0!</v>
      </c>
      <c r="E146" s="818">
        <f t="shared" si="36"/>
        <v>0</v>
      </c>
      <c r="F146" s="818">
        <f t="shared" ref="F146:V146" si="37">ROUND(SUM(F35:F144),0)</f>
        <v>0</v>
      </c>
      <c r="G146" s="818">
        <f t="shared" si="37"/>
        <v>0</v>
      </c>
      <c r="H146" s="818">
        <f t="shared" si="37"/>
        <v>0</v>
      </c>
      <c r="I146" s="818">
        <f t="shared" si="37"/>
        <v>0</v>
      </c>
      <c r="J146" s="818">
        <f t="shared" si="37"/>
        <v>0</v>
      </c>
      <c r="K146" s="818">
        <f t="shared" si="37"/>
        <v>0</v>
      </c>
      <c r="L146" s="818">
        <f t="shared" si="37"/>
        <v>0</v>
      </c>
      <c r="M146" s="818">
        <f t="shared" si="37"/>
        <v>0</v>
      </c>
      <c r="N146" s="818">
        <f t="shared" si="37"/>
        <v>0</v>
      </c>
      <c r="O146" s="818">
        <f t="shared" si="37"/>
        <v>0</v>
      </c>
      <c r="P146" s="818">
        <f t="shared" si="37"/>
        <v>0</v>
      </c>
      <c r="Q146" s="818">
        <f t="shared" si="37"/>
        <v>0</v>
      </c>
      <c r="R146" s="818">
        <f t="shared" si="37"/>
        <v>0</v>
      </c>
      <c r="S146" s="818">
        <f t="shared" si="37"/>
        <v>0</v>
      </c>
      <c r="T146" s="818">
        <f t="shared" si="37"/>
        <v>0</v>
      </c>
      <c r="U146" s="818">
        <f t="shared" si="37"/>
        <v>0</v>
      </c>
      <c r="V146" s="818">
        <f t="shared" si="37"/>
        <v>0</v>
      </c>
      <c r="W146" s="818" t="e">
        <f>ROUND(SUM(W35:W144),0)</f>
        <v>#DIV/0!</v>
      </c>
      <c r="X146" s="818" t="e">
        <f t="shared" ref="X146:Y146" si="38">ROUND(SUM(X35:X144),0)</f>
        <v>#DIV/0!</v>
      </c>
      <c r="Y146" s="818" t="e">
        <f t="shared" si="38"/>
        <v>#DIV/0!</v>
      </c>
      <c r="Z146" s="818"/>
      <c r="AA146" s="818" t="e">
        <f>ROUND(SUM(AA35:AA145),0)-2</f>
        <v>#DIV/0!</v>
      </c>
      <c r="AB146" s="299"/>
    </row>
    <row r="147" spans="1:32" ht="15.75">
      <c r="A147" s="300"/>
      <c r="B147" s="699"/>
      <c r="C147" s="705"/>
      <c r="D147" s="705"/>
      <c r="E147" s="705"/>
      <c r="F147" s="705"/>
      <c r="G147" s="705"/>
      <c r="H147" s="705"/>
      <c r="I147" s="705"/>
      <c r="J147" s="705"/>
      <c r="K147" s="705"/>
      <c r="L147" s="705"/>
      <c r="M147" s="705"/>
      <c r="N147" s="705"/>
      <c r="O147" s="705"/>
      <c r="P147" s="705"/>
      <c r="Q147" s="705"/>
      <c r="R147" s="705"/>
      <c r="S147" s="705"/>
      <c r="T147" s="705"/>
      <c r="U147" s="705"/>
      <c r="V147" s="705"/>
      <c r="W147" s="700"/>
      <c r="X147" s="700"/>
      <c r="Y147" s="700"/>
      <c r="Z147" s="700"/>
      <c r="AA147" s="700"/>
      <c r="AB147" s="701"/>
      <c r="AF147" s="448"/>
    </row>
    <row r="148" spans="1:32" ht="15.75">
      <c r="A148" s="300"/>
      <c r="B148" s="699" t="s">
        <v>282</v>
      </c>
      <c r="C148" s="705" t="e">
        <f>C30</f>
        <v>#DIV/0!</v>
      </c>
      <c r="D148" s="705"/>
      <c r="E148" s="705"/>
      <c r="F148" s="705"/>
      <c r="G148" s="705"/>
      <c r="H148" s="705"/>
      <c r="I148" s="705"/>
      <c r="J148" s="705"/>
      <c r="K148" s="705"/>
      <c r="L148" s="705"/>
      <c r="M148" s="705"/>
      <c r="N148" s="705"/>
      <c r="O148" s="705"/>
      <c r="P148" s="705"/>
      <c r="Q148" s="705"/>
      <c r="R148" s="705"/>
      <c r="S148" s="705"/>
      <c r="T148" s="705"/>
      <c r="U148" s="705"/>
      <c r="V148" s="705"/>
      <c r="W148" s="700"/>
      <c r="X148" s="700"/>
      <c r="Y148" s="702" t="s">
        <v>950</v>
      </c>
      <c r="Z148" s="700"/>
      <c r="AA148" s="705" t="e">
        <f>C146</f>
        <v>#DIV/0!</v>
      </c>
      <c r="AB148" s="701"/>
      <c r="AF148" s="448"/>
    </row>
    <row r="149" spans="1:32" ht="15.75">
      <c r="A149" s="300"/>
      <c r="B149" s="298" t="s">
        <v>951</v>
      </c>
      <c r="C149" s="703" t="e">
        <f>C146-C148</f>
        <v>#DIV/0!</v>
      </c>
      <c r="D149" s="703" t="e">
        <f t="shared" ref="D149:O149" si="39">IF(D146=D30," ", "SOURCES DO NOT TIE")</f>
        <v>#DIV/0!</v>
      </c>
      <c r="E149" s="703" t="e">
        <f t="shared" si="39"/>
        <v>#DIV/0!</v>
      </c>
      <c r="F149" s="703" t="e">
        <f t="shared" si="39"/>
        <v>#DIV/0!</v>
      </c>
      <c r="G149" s="703" t="e">
        <f t="shared" si="39"/>
        <v>#DIV/0!</v>
      </c>
      <c r="H149" s="703" t="e">
        <f t="shared" si="39"/>
        <v>#DIV/0!</v>
      </c>
      <c r="I149" s="703" t="e">
        <f t="shared" si="39"/>
        <v>#DIV/0!</v>
      </c>
      <c r="J149" s="703" t="e">
        <f t="shared" si="39"/>
        <v>#DIV/0!</v>
      </c>
      <c r="K149" s="703" t="e">
        <f t="shared" si="39"/>
        <v>#DIV/0!</v>
      </c>
      <c r="L149" s="703" t="e">
        <f t="shared" si="39"/>
        <v>#DIV/0!</v>
      </c>
      <c r="M149" s="703" t="e">
        <f t="shared" si="39"/>
        <v>#DIV/0!</v>
      </c>
      <c r="N149" s="703" t="e">
        <f t="shared" si="39"/>
        <v>#DIV/0!</v>
      </c>
      <c r="O149" s="703" t="e">
        <f t="shared" si="39"/>
        <v>#DIV/0!</v>
      </c>
      <c r="P149" s="703"/>
      <c r="Q149" s="703"/>
      <c r="R149" s="703"/>
      <c r="S149" s="703" t="str">
        <f>IF(S146=S30," ", "SOURCES DO NOT TIE")</f>
        <v xml:space="preserve"> </v>
      </c>
      <c r="T149" s="703"/>
      <c r="U149" s="703"/>
      <c r="V149" s="703"/>
      <c r="W149" s="298" t="e">
        <f>IF(W146=W30," ", "SOURCES DO NOT TIE")</f>
        <v>#DIV/0!</v>
      </c>
      <c r="X149" s="330" t="e">
        <f>IF(X146=X30," ", "SOURCES DO NOT TIE")</f>
        <v>#DIV/0!</v>
      </c>
      <c r="Y149" s="443" t="s">
        <v>951</v>
      </c>
      <c r="Z149" s="298"/>
      <c r="AA149" s="703" t="e">
        <f>AA146-AA148</f>
        <v>#DIV/0!</v>
      </c>
      <c r="AB149" s="299"/>
    </row>
    <row r="150" spans="1:32" ht="15.75">
      <c r="A150" s="300"/>
      <c r="B150" s="298"/>
      <c r="C150" s="298"/>
      <c r="D150" s="298"/>
      <c r="E150" s="298"/>
      <c r="F150" s="298"/>
      <c r="G150" s="298"/>
      <c r="H150" s="298"/>
      <c r="I150" s="298"/>
      <c r="J150" s="298"/>
      <c r="K150" s="298"/>
      <c r="L150" s="298"/>
      <c r="M150" s="298"/>
      <c r="N150" s="298"/>
      <c r="O150" s="298"/>
      <c r="P150" s="298"/>
      <c r="Q150" s="298"/>
      <c r="R150" s="298"/>
      <c r="S150" s="298"/>
      <c r="T150" s="298"/>
      <c r="U150" s="298"/>
      <c r="V150" s="298"/>
      <c r="W150" s="298"/>
      <c r="X150" s="330"/>
      <c r="Y150" s="298"/>
      <c r="Z150" s="298"/>
      <c r="AA150" s="298"/>
      <c r="AB150" s="299"/>
    </row>
    <row r="151" spans="1:32" ht="15.75">
      <c r="A151" s="300"/>
      <c r="B151" s="298"/>
      <c r="C151" s="298"/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330"/>
      <c r="Y151" s="298"/>
      <c r="Z151" s="298"/>
      <c r="AA151" s="298"/>
      <c r="AB151" s="299"/>
    </row>
    <row r="152" spans="1:32" ht="15.75">
      <c r="A152" s="300"/>
      <c r="B152" s="398" t="s">
        <v>952</v>
      </c>
      <c r="C152" s="703" t="e">
        <f>$C$27</f>
        <v>#DIV/0!</v>
      </c>
      <c r="D152" s="300"/>
      <c r="E152" s="298"/>
      <c r="F152" s="298"/>
      <c r="G152" s="298"/>
      <c r="H152" s="298"/>
      <c r="I152" s="298"/>
      <c r="J152" s="298"/>
      <c r="K152" s="298"/>
      <c r="L152" s="298"/>
      <c r="M152" s="298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330"/>
      <c r="Y152" s="298"/>
      <c r="Z152" s="298"/>
      <c r="AA152" s="298"/>
      <c r="AB152" s="299"/>
    </row>
    <row r="153" spans="1:32" ht="15.75">
      <c r="A153" s="300"/>
      <c r="B153" s="298" t="s">
        <v>953</v>
      </c>
      <c r="C153" s="703"/>
      <c r="D153" s="801" t="e">
        <f t="shared" ref="D153:V153" si="40">D27</f>
        <v>#DIV/0!</v>
      </c>
      <c r="E153" s="703" t="e">
        <f t="shared" si="40"/>
        <v>#DIV/0!</v>
      </c>
      <c r="F153" s="703" t="e">
        <f t="shared" si="40"/>
        <v>#DIV/0!</v>
      </c>
      <c r="G153" s="703" t="e">
        <f t="shared" si="40"/>
        <v>#DIV/0!</v>
      </c>
      <c r="H153" s="703" t="e">
        <f t="shared" si="40"/>
        <v>#DIV/0!</v>
      </c>
      <c r="I153" s="703" t="e">
        <f t="shared" si="40"/>
        <v>#DIV/0!</v>
      </c>
      <c r="J153" s="703" t="e">
        <f t="shared" si="40"/>
        <v>#DIV/0!</v>
      </c>
      <c r="K153" s="703" t="e">
        <f t="shared" si="40"/>
        <v>#DIV/0!</v>
      </c>
      <c r="L153" s="703" t="e">
        <f t="shared" si="40"/>
        <v>#DIV/0!</v>
      </c>
      <c r="M153" s="703" t="e">
        <f t="shared" si="40"/>
        <v>#DIV/0!</v>
      </c>
      <c r="N153" s="703" t="e">
        <f t="shared" si="40"/>
        <v>#DIV/0!</v>
      </c>
      <c r="O153" s="703" t="e">
        <f t="shared" si="40"/>
        <v>#DIV/0!</v>
      </c>
      <c r="P153" s="703" t="e">
        <f t="shared" si="40"/>
        <v>#DIV/0!</v>
      </c>
      <c r="Q153" s="703" t="e">
        <f t="shared" si="40"/>
        <v>#DIV/0!</v>
      </c>
      <c r="R153" s="703" t="e">
        <f t="shared" si="40"/>
        <v>#DIV/0!</v>
      </c>
      <c r="S153" s="703" t="e">
        <f t="shared" si="40"/>
        <v>#DIV/0!</v>
      </c>
      <c r="T153" s="703" t="e">
        <f t="shared" si="40"/>
        <v>#DIV/0!</v>
      </c>
      <c r="U153" s="703" t="e">
        <f t="shared" si="40"/>
        <v>#DIV/0!</v>
      </c>
      <c r="V153" s="703" t="e">
        <f t="shared" si="40"/>
        <v>#DIV/0!</v>
      </c>
      <c r="W153" s="703"/>
      <c r="X153" s="800"/>
      <c r="Y153" s="703"/>
      <c r="Z153" s="703"/>
      <c r="AA153" s="703"/>
      <c r="AB153" s="299"/>
    </row>
    <row r="154" spans="1:32" ht="15.75">
      <c r="A154" s="300"/>
      <c r="B154" s="298" t="s">
        <v>954</v>
      </c>
      <c r="C154" s="703"/>
      <c r="D154" s="801"/>
      <c r="E154" s="703" t="e">
        <f>D153+E153</f>
        <v>#DIV/0!</v>
      </c>
      <c r="F154" s="703" t="e">
        <f>E154+F153</f>
        <v>#DIV/0!</v>
      </c>
      <c r="G154" s="703" t="e">
        <f t="shared" ref="G154:V154" si="41">F154+G153</f>
        <v>#DIV/0!</v>
      </c>
      <c r="H154" s="703" t="e">
        <f t="shared" si="41"/>
        <v>#DIV/0!</v>
      </c>
      <c r="I154" s="703" t="e">
        <f t="shared" si="41"/>
        <v>#DIV/0!</v>
      </c>
      <c r="J154" s="703" t="e">
        <f t="shared" si="41"/>
        <v>#DIV/0!</v>
      </c>
      <c r="K154" s="703" t="e">
        <f t="shared" si="41"/>
        <v>#DIV/0!</v>
      </c>
      <c r="L154" s="703" t="e">
        <f t="shared" si="41"/>
        <v>#DIV/0!</v>
      </c>
      <c r="M154" s="703" t="e">
        <f t="shared" si="41"/>
        <v>#DIV/0!</v>
      </c>
      <c r="N154" s="703" t="e">
        <f t="shared" si="41"/>
        <v>#DIV/0!</v>
      </c>
      <c r="O154" s="703" t="e">
        <f t="shared" si="41"/>
        <v>#DIV/0!</v>
      </c>
      <c r="P154" s="703" t="e">
        <f t="shared" si="41"/>
        <v>#DIV/0!</v>
      </c>
      <c r="Q154" s="703" t="e">
        <f t="shared" si="41"/>
        <v>#DIV/0!</v>
      </c>
      <c r="R154" s="703" t="e">
        <f t="shared" si="41"/>
        <v>#DIV/0!</v>
      </c>
      <c r="S154" s="703" t="e">
        <f t="shared" si="41"/>
        <v>#DIV/0!</v>
      </c>
      <c r="T154" s="703" t="e">
        <f t="shared" si="41"/>
        <v>#DIV/0!</v>
      </c>
      <c r="U154" s="703" t="e">
        <f t="shared" si="41"/>
        <v>#DIV/0!</v>
      </c>
      <c r="V154" s="703" t="e">
        <f t="shared" si="41"/>
        <v>#DIV/0!</v>
      </c>
      <c r="W154" s="703" t="e">
        <f t="shared" ref="W154" si="42">V154+W153</f>
        <v>#DIV/0!</v>
      </c>
      <c r="X154" s="703" t="e">
        <f t="shared" ref="X154" si="43">W154+X153</f>
        <v>#DIV/0!</v>
      </c>
      <c r="Y154" s="703" t="e">
        <f t="shared" ref="Y154" si="44">X154+Y153</f>
        <v>#DIV/0!</v>
      </c>
      <c r="Z154" s="703"/>
      <c r="AA154" s="703"/>
      <c r="AB154" s="299"/>
    </row>
    <row r="155" spans="1:32" ht="15.75">
      <c r="A155" s="300"/>
      <c r="B155" s="298" t="s">
        <v>955</v>
      </c>
      <c r="C155" s="703"/>
      <c r="D155" s="801"/>
      <c r="E155" s="703">
        <f t="shared" ref="E155:Y155" si="45">-E144</f>
        <v>0</v>
      </c>
      <c r="F155" s="703">
        <f t="shared" si="45"/>
        <v>0</v>
      </c>
      <c r="G155" s="703">
        <f t="shared" si="45"/>
        <v>0</v>
      </c>
      <c r="H155" s="703">
        <f t="shared" si="45"/>
        <v>0</v>
      </c>
      <c r="I155" s="703">
        <f t="shared" si="45"/>
        <v>0</v>
      </c>
      <c r="J155" s="703">
        <f t="shared" si="45"/>
        <v>0</v>
      </c>
      <c r="K155" s="703">
        <f t="shared" si="45"/>
        <v>0</v>
      </c>
      <c r="L155" s="703">
        <f t="shared" si="45"/>
        <v>0</v>
      </c>
      <c r="M155" s="703">
        <f t="shared" si="45"/>
        <v>0</v>
      </c>
      <c r="N155" s="703">
        <f t="shared" si="45"/>
        <v>0</v>
      </c>
      <c r="O155" s="703">
        <f t="shared" si="45"/>
        <v>0</v>
      </c>
      <c r="P155" s="703">
        <f t="shared" si="45"/>
        <v>0</v>
      </c>
      <c r="Q155" s="703">
        <f t="shared" si="45"/>
        <v>0</v>
      </c>
      <c r="R155" s="703">
        <f t="shared" si="45"/>
        <v>0</v>
      </c>
      <c r="S155" s="703">
        <f t="shared" si="45"/>
        <v>0</v>
      </c>
      <c r="T155" s="703">
        <f t="shared" si="45"/>
        <v>0</v>
      </c>
      <c r="U155" s="703">
        <f t="shared" si="45"/>
        <v>0</v>
      </c>
      <c r="V155" s="703">
        <f t="shared" si="45"/>
        <v>0</v>
      </c>
      <c r="W155" s="703" t="e">
        <f t="shared" si="45"/>
        <v>#DIV/0!</v>
      </c>
      <c r="X155" s="703" t="e">
        <f t="shared" si="45"/>
        <v>#DIV/0!</v>
      </c>
      <c r="Y155" s="703" t="e">
        <f t="shared" si="45"/>
        <v>#DIV/0!</v>
      </c>
      <c r="Z155" s="703"/>
      <c r="AA155" s="703"/>
      <c r="AB155" s="299"/>
    </row>
    <row r="156" spans="1:32" ht="15.75">
      <c r="A156" s="300"/>
      <c r="B156" s="298" t="s">
        <v>956</v>
      </c>
      <c r="C156" s="703"/>
      <c r="D156" s="801"/>
      <c r="E156" s="703" t="e">
        <f t="shared" ref="E156:Y156" si="46">IF(E144=0,E154,D156+E155)</f>
        <v>#DIV/0!</v>
      </c>
      <c r="F156" s="703" t="e">
        <f t="shared" si="46"/>
        <v>#DIV/0!</v>
      </c>
      <c r="G156" s="703" t="e">
        <f t="shared" si="46"/>
        <v>#DIV/0!</v>
      </c>
      <c r="H156" s="703" t="e">
        <f t="shared" si="46"/>
        <v>#DIV/0!</v>
      </c>
      <c r="I156" s="703" t="e">
        <f t="shared" si="46"/>
        <v>#DIV/0!</v>
      </c>
      <c r="J156" s="703" t="e">
        <f t="shared" si="46"/>
        <v>#DIV/0!</v>
      </c>
      <c r="K156" s="703" t="e">
        <f t="shared" si="46"/>
        <v>#DIV/0!</v>
      </c>
      <c r="L156" s="703" t="e">
        <f t="shared" si="46"/>
        <v>#DIV/0!</v>
      </c>
      <c r="M156" s="703" t="e">
        <f t="shared" si="46"/>
        <v>#DIV/0!</v>
      </c>
      <c r="N156" s="703" t="e">
        <f t="shared" si="46"/>
        <v>#DIV/0!</v>
      </c>
      <c r="O156" s="703" t="e">
        <f t="shared" si="46"/>
        <v>#DIV/0!</v>
      </c>
      <c r="P156" s="703" t="e">
        <f t="shared" si="46"/>
        <v>#DIV/0!</v>
      </c>
      <c r="Q156" s="703" t="e">
        <f t="shared" si="46"/>
        <v>#DIV/0!</v>
      </c>
      <c r="R156" s="703" t="e">
        <f t="shared" si="46"/>
        <v>#DIV/0!</v>
      </c>
      <c r="S156" s="703" t="e">
        <f t="shared" si="46"/>
        <v>#DIV/0!</v>
      </c>
      <c r="T156" s="703" t="e">
        <f t="shared" si="46"/>
        <v>#DIV/0!</v>
      </c>
      <c r="U156" s="703" t="e">
        <f t="shared" si="46"/>
        <v>#DIV/0!</v>
      </c>
      <c r="V156" s="703" t="e">
        <f t="shared" si="46"/>
        <v>#DIV/0!</v>
      </c>
      <c r="W156" s="703" t="e">
        <f t="shared" si="46"/>
        <v>#DIV/0!</v>
      </c>
      <c r="X156" s="703" t="e">
        <f t="shared" si="46"/>
        <v>#DIV/0!</v>
      </c>
      <c r="Y156" s="703" t="e">
        <f t="shared" si="46"/>
        <v>#DIV/0!</v>
      </c>
      <c r="Z156" s="703"/>
      <c r="AA156" s="703"/>
      <c r="AB156" s="299"/>
    </row>
    <row r="157" spans="1:32" ht="15.75">
      <c r="A157" s="300"/>
      <c r="B157" s="298" t="s">
        <v>957</v>
      </c>
      <c r="C157" s="477">
        <f>$AF$25</f>
        <v>0.04</v>
      </c>
      <c r="D157" s="801" t="e">
        <f>($C$157/12)*D153</f>
        <v>#DIV/0!</v>
      </c>
      <c r="E157" s="703" t="e">
        <f t="shared" ref="E157:F157" si="47">($C$157/12)*E156</f>
        <v>#DIV/0!</v>
      </c>
      <c r="F157" s="703" t="e">
        <f t="shared" si="47"/>
        <v>#DIV/0!</v>
      </c>
      <c r="G157" s="703">
        <f>IF(G9&gt;'Timing-Leasing-TC Delivery'!$H$8,0,($C$157/12)*G156)</f>
        <v>0</v>
      </c>
      <c r="H157" s="703">
        <f>IF(H9&gt;'Timing-Leasing-TC Delivery'!$H$8,0,($C$157/12)*H156)</f>
        <v>0</v>
      </c>
      <c r="I157" s="703">
        <f>IF(I9&gt;'Timing-Leasing-TC Delivery'!$H$8,0,($C$157/12)*I156)</f>
        <v>0</v>
      </c>
      <c r="J157" s="703">
        <f>IF(J9&gt;'Timing-Leasing-TC Delivery'!$H$8,0,($C$157/12)*J156)</f>
        <v>0</v>
      </c>
      <c r="K157" s="703">
        <f>IF(K9&gt;'Timing-Leasing-TC Delivery'!$H$8,0,($C$157/12)*K156)</f>
        <v>0</v>
      </c>
      <c r="L157" s="703">
        <f>IF(L9&gt;'Timing-Leasing-TC Delivery'!$H$8,0,($C$157/12)*L156)</f>
        <v>0</v>
      </c>
      <c r="M157" s="703">
        <f>IF(M9&gt;'Timing-Leasing-TC Delivery'!$H$8,0,($C$157/12)*M156)</f>
        <v>0</v>
      </c>
      <c r="N157" s="703">
        <f>IF(N9&gt;'Timing-Leasing-TC Delivery'!$H$8,0,($C$157/12)*N156)</f>
        <v>0</v>
      </c>
      <c r="O157" s="703">
        <f>IF(O9&gt;'Timing-Leasing-TC Delivery'!$H$8,0,($C$157/12)*O156)</f>
        <v>0</v>
      </c>
      <c r="P157" s="703">
        <f>IF(P9&gt;'Timing-Leasing-TC Delivery'!$H$8,0,($C$157/12)*P156)</f>
        <v>0</v>
      </c>
      <c r="Q157" s="703">
        <f>IF(Q9&gt;'Timing-Leasing-TC Delivery'!$H$8,0,($C$157/12)*Q156)</f>
        <v>0</v>
      </c>
      <c r="R157" s="703">
        <f>IF(R9&gt;'Timing-Leasing-TC Delivery'!$H$8,0,($C$157/12)*R156)</f>
        <v>0</v>
      </c>
      <c r="S157" s="703">
        <f>IF(S9&gt;'Timing-Leasing-TC Delivery'!$H$8,0,($C$157/12)*S156)</f>
        <v>0</v>
      </c>
      <c r="T157" s="703">
        <f>IF(T9&gt;'Timing-Leasing-TC Delivery'!$H$8,0,($C$157/12)*T156)</f>
        <v>0</v>
      </c>
      <c r="U157" s="703">
        <f>IF(U9&gt;'Timing-Leasing-TC Delivery'!$H$8,0,($C$157/12)*U156)</f>
        <v>0</v>
      </c>
      <c r="V157" s="703">
        <f>IF(V9&gt;'Timing-Leasing-TC Delivery'!$H$8,0,($C$157/12)*V156)</f>
        <v>0</v>
      </c>
      <c r="W157" s="703" t="e">
        <f t="shared" ref="W157:Y157" si="48">($C$157/12)*W156</f>
        <v>#DIV/0!</v>
      </c>
      <c r="X157" s="703" t="e">
        <f t="shared" si="48"/>
        <v>#DIV/0!</v>
      </c>
      <c r="Y157" s="703" t="e">
        <f t="shared" si="48"/>
        <v>#DIV/0!</v>
      </c>
      <c r="Z157" s="703"/>
      <c r="AA157" s="705" t="e">
        <f>SUM(D157:Y157)</f>
        <v>#DIV/0!</v>
      </c>
      <c r="AB157" s="299"/>
    </row>
    <row r="158" spans="1:32" ht="15.75">
      <c r="A158" s="300"/>
      <c r="B158" s="298" t="s">
        <v>958</v>
      </c>
      <c r="C158" s="298"/>
      <c r="D158" s="801">
        <f t="shared" ref="D158:Y158" si="49">IFERROR(LOOKUP(D6,$D$168:$V$169),0)</f>
        <v>0</v>
      </c>
      <c r="E158" s="703">
        <f t="shared" si="49"/>
        <v>0</v>
      </c>
      <c r="F158" s="703">
        <f t="shared" si="49"/>
        <v>0</v>
      </c>
      <c r="G158" s="703">
        <f t="shared" si="49"/>
        <v>0</v>
      </c>
      <c r="H158" s="703">
        <f t="shared" si="49"/>
        <v>0</v>
      </c>
      <c r="I158" s="703">
        <f t="shared" si="49"/>
        <v>0</v>
      </c>
      <c r="J158" s="703">
        <f t="shared" si="49"/>
        <v>0</v>
      </c>
      <c r="K158" s="703">
        <f t="shared" si="49"/>
        <v>0</v>
      </c>
      <c r="L158" s="703">
        <f t="shared" si="49"/>
        <v>0</v>
      </c>
      <c r="M158" s="703">
        <f t="shared" si="49"/>
        <v>0</v>
      </c>
      <c r="N158" s="703">
        <f t="shared" si="49"/>
        <v>0</v>
      </c>
      <c r="O158" s="703">
        <f t="shared" si="49"/>
        <v>0</v>
      </c>
      <c r="P158" s="703">
        <f t="shared" si="49"/>
        <v>0</v>
      </c>
      <c r="Q158" s="703">
        <f t="shared" si="49"/>
        <v>0</v>
      </c>
      <c r="R158" s="703">
        <f t="shared" si="49"/>
        <v>0</v>
      </c>
      <c r="S158" s="703">
        <f t="shared" si="49"/>
        <v>0</v>
      </c>
      <c r="T158" s="703">
        <f t="shared" si="49"/>
        <v>0</v>
      </c>
      <c r="U158" s="703">
        <f t="shared" si="49"/>
        <v>0</v>
      </c>
      <c r="V158" s="703">
        <f t="shared" si="49"/>
        <v>0</v>
      </c>
      <c r="W158" s="703">
        <f t="shared" si="49"/>
        <v>0</v>
      </c>
      <c r="X158" s="703">
        <f t="shared" si="49"/>
        <v>0</v>
      </c>
      <c r="Y158" s="703">
        <f t="shared" si="49"/>
        <v>0</v>
      </c>
      <c r="Z158" s="703"/>
      <c r="AA158" s="705"/>
      <c r="AB158" s="299"/>
    </row>
    <row r="159" spans="1:32" ht="15.75">
      <c r="A159" s="300"/>
      <c r="B159" s="481" t="s">
        <v>959</v>
      </c>
      <c r="C159" s="704">
        <f>'Timing-Leasing-TC Delivery'!$AA$6</f>
        <v>0</v>
      </c>
      <c r="D159" s="803" t="e">
        <f>D158/$C$159</f>
        <v>#DIV/0!</v>
      </c>
      <c r="E159" s="804" t="e">
        <f>SUM($D$158:E158)/$C$159</f>
        <v>#DIV/0!</v>
      </c>
      <c r="F159" s="804" t="e">
        <f>SUM($D$158:F158)/$C$159</f>
        <v>#DIV/0!</v>
      </c>
      <c r="G159" s="804" t="e">
        <f>SUM($D$158:G158)/$C$159</f>
        <v>#DIV/0!</v>
      </c>
      <c r="H159" s="804" t="e">
        <f>SUM($D$158:H158)/$C$159</f>
        <v>#DIV/0!</v>
      </c>
      <c r="I159" s="804" t="e">
        <f>SUM($D$158:I158)/$C$159</f>
        <v>#DIV/0!</v>
      </c>
      <c r="J159" s="804" t="e">
        <f>SUM($D$158:J158)/$C$159</f>
        <v>#DIV/0!</v>
      </c>
      <c r="K159" s="804" t="e">
        <f>SUM($D$158:K158)/$C$159</f>
        <v>#DIV/0!</v>
      </c>
      <c r="L159" s="804" t="e">
        <f>SUM($D$158:L158)/$C$159</f>
        <v>#DIV/0!</v>
      </c>
      <c r="M159" s="804" t="e">
        <f>SUM($D$158:M158)/$C$159</f>
        <v>#DIV/0!</v>
      </c>
      <c r="N159" s="804" t="e">
        <f>SUM($D$158:N158)/$C$159</f>
        <v>#DIV/0!</v>
      </c>
      <c r="O159" s="804" t="e">
        <f>SUM($D$158:O158)/$C$159</f>
        <v>#DIV/0!</v>
      </c>
      <c r="P159" s="804" t="e">
        <f>SUM($D$158:P158)/$C$159</f>
        <v>#DIV/0!</v>
      </c>
      <c r="Q159" s="804" t="e">
        <f>SUM($D$158:Q158)/$C$159</f>
        <v>#DIV/0!</v>
      </c>
      <c r="R159" s="804" t="e">
        <f>SUM($D$158:R158)/$C$159</f>
        <v>#DIV/0!</v>
      </c>
      <c r="S159" s="804" t="e">
        <f>SUM($D$158:S158)/$C$159</f>
        <v>#DIV/0!</v>
      </c>
      <c r="T159" s="804" t="e">
        <f>SUM($D$158:T158)/$C$159</f>
        <v>#DIV/0!</v>
      </c>
      <c r="U159" s="804" t="e">
        <f>SUM($D$158:U158)/$C$159</f>
        <v>#DIV/0!</v>
      </c>
      <c r="V159" s="804" t="e">
        <f>SUM($D$158:V158)/$C$159</f>
        <v>#DIV/0!</v>
      </c>
      <c r="W159" s="804" t="e">
        <f>SUM($D$158:W158)/$C$159</f>
        <v>#DIV/0!</v>
      </c>
      <c r="X159" s="804" t="e">
        <f>SUM($D$158:X158)/$C$159</f>
        <v>#DIV/0!</v>
      </c>
      <c r="Y159" s="804" t="e">
        <f>SUM($D$158:Y158)/$C$159</f>
        <v>#DIV/0!</v>
      </c>
      <c r="Z159" s="704"/>
      <c r="AA159" s="802"/>
      <c r="AB159" s="299"/>
    </row>
    <row r="160" spans="1:32" ht="15.75">
      <c r="A160" s="300"/>
      <c r="B160" s="298" t="s">
        <v>960</v>
      </c>
      <c r="C160" s="298"/>
      <c r="D160" s="801" t="e">
        <f>IF(D159=0,D157,IF(AND(D159&gt;0,D159&lt;1),D157*(1-D159),0))</f>
        <v>#DIV/0!</v>
      </c>
      <c r="E160" s="703" t="e">
        <f>IF(E159=0,E157,IF(AND(E159&gt;0,E159&lt;1),E157*(1-E159),0))</f>
        <v>#DIV/0!</v>
      </c>
      <c r="F160" s="703" t="e">
        <f t="shared" ref="F160:N160" si="50">IF(F159=0,F157,IF(AND(F159&gt;0,F159&lt;1),F157*(1-F159),0))</f>
        <v>#DIV/0!</v>
      </c>
      <c r="G160" s="703" t="e">
        <f t="shared" si="50"/>
        <v>#DIV/0!</v>
      </c>
      <c r="H160" s="703" t="e">
        <f t="shared" si="50"/>
        <v>#DIV/0!</v>
      </c>
      <c r="I160" s="703" t="e">
        <f t="shared" si="50"/>
        <v>#DIV/0!</v>
      </c>
      <c r="J160" s="703" t="e">
        <f t="shared" si="50"/>
        <v>#DIV/0!</v>
      </c>
      <c r="K160" s="703" t="e">
        <f t="shared" si="50"/>
        <v>#DIV/0!</v>
      </c>
      <c r="L160" s="703" t="e">
        <f t="shared" si="50"/>
        <v>#DIV/0!</v>
      </c>
      <c r="M160" s="703" t="e">
        <f t="shared" si="50"/>
        <v>#DIV/0!</v>
      </c>
      <c r="N160" s="703" t="e">
        <f t="shared" si="50"/>
        <v>#DIV/0!</v>
      </c>
      <c r="O160" s="703" t="e">
        <f t="shared" ref="O160" si="51">IF(O159=0,O157,IF(AND(O159&gt;0,O159&lt;1),O157*(1-O159),0))</f>
        <v>#DIV/0!</v>
      </c>
      <c r="P160" s="703" t="e">
        <f t="shared" ref="P160" si="52">IF(P159=0,P157,IF(AND(P159&gt;0,P159&lt;1),P157*(1-P159),0))</f>
        <v>#DIV/0!</v>
      </c>
      <c r="Q160" s="703" t="e">
        <f t="shared" ref="Q160" si="53">IF(Q159=0,Q157,IF(AND(Q159&gt;0,Q159&lt;1),Q157*(1-Q159),0))</f>
        <v>#DIV/0!</v>
      </c>
      <c r="R160" s="703" t="e">
        <f t="shared" ref="R160" si="54">IF(R159=0,R157,IF(AND(R159&gt;0,R159&lt;1),R157*(1-R159),0))</f>
        <v>#DIV/0!</v>
      </c>
      <c r="S160" s="703" t="e">
        <f t="shared" ref="S160" si="55">IF(S159=0,S157,IF(AND(S159&gt;0,S159&lt;1),S157*(1-S159),0))</f>
        <v>#DIV/0!</v>
      </c>
      <c r="T160" s="703" t="e">
        <f t="shared" ref="T160" si="56">IF(T159=0,T157,IF(AND(T159&gt;0,T159&lt;1),T157*(1-T159),0))</f>
        <v>#DIV/0!</v>
      </c>
      <c r="U160" s="703" t="e">
        <f t="shared" ref="U160" si="57">IF(U159=0,U157,IF(AND(U159&gt;0,U159&lt;1),U157*(1-U159),0))</f>
        <v>#DIV/0!</v>
      </c>
      <c r="V160" s="703" t="e">
        <f t="shared" ref="V160" si="58">IF(V159=0,V157,IF(AND(V159&gt;0,V159&lt;1),V157*(1-V159),0))</f>
        <v>#DIV/0!</v>
      </c>
      <c r="W160" s="703" t="e">
        <f t="shared" ref="W160" si="59">IF(W159=0,W157,IF(AND(W159&gt;0,W159&lt;1),W157*(1-W159),0))</f>
        <v>#DIV/0!</v>
      </c>
      <c r="X160" s="703" t="e">
        <f t="shared" ref="X160" si="60">IF(X159=0,X157,IF(AND(X159&gt;0,X159&lt;1),X157*(1-X159),0))</f>
        <v>#DIV/0!</v>
      </c>
      <c r="Y160" s="703" t="e">
        <f t="shared" ref="Y160" si="61">IF(Y159=0,Y157,IF(AND(Y159&gt;0,Y159&lt;1),Y157*(1-Y159),0))</f>
        <v>#DIV/0!</v>
      </c>
      <c r="Z160" s="703"/>
      <c r="AA160" s="805" t="e">
        <f t="shared" ref="AA160" si="62">SUM(D160:Y160)</f>
        <v>#DIV/0!</v>
      </c>
      <c r="AB160" s="299"/>
    </row>
    <row r="161" spans="1:36" ht="15.75">
      <c r="A161" s="300"/>
      <c r="B161" s="298" t="s">
        <v>961</v>
      </c>
      <c r="C161" s="298"/>
      <c r="D161" s="801" t="e">
        <f>D157-D160</f>
        <v>#DIV/0!</v>
      </c>
      <c r="E161" s="703" t="e">
        <f>E157-E160</f>
        <v>#DIV/0!</v>
      </c>
      <c r="F161" s="703" t="e">
        <f t="shared" ref="F161:Y161" si="63">F157-F160</f>
        <v>#DIV/0!</v>
      </c>
      <c r="G161" s="703" t="e">
        <f t="shared" si="63"/>
        <v>#DIV/0!</v>
      </c>
      <c r="H161" s="703" t="e">
        <f t="shared" si="63"/>
        <v>#DIV/0!</v>
      </c>
      <c r="I161" s="703" t="e">
        <f t="shared" si="63"/>
        <v>#DIV/0!</v>
      </c>
      <c r="J161" s="703" t="e">
        <f t="shared" si="63"/>
        <v>#DIV/0!</v>
      </c>
      <c r="K161" s="703" t="e">
        <f t="shared" si="63"/>
        <v>#DIV/0!</v>
      </c>
      <c r="L161" s="703" t="e">
        <f t="shared" si="63"/>
        <v>#DIV/0!</v>
      </c>
      <c r="M161" s="703" t="e">
        <f t="shared" si="63"/>
        <v>#DIV/0!</v>
      </c>
      <c r="N161" s="703" t="e">
        <f t="shared" si="63"/>
        <v>#DIV/0!</v>
      </c>
      <c r="O161" s="703" t="e">
        <f t="shared" si="63"/>
        <v>#DIV/0!</v>
      </c>
      <c r="P161" s="703" t="e">
        <f t="shared" si="63"/>
        <v>#DIV/0!</v>
      </c>
      <c r="Q161" s="703" t="e">
        <f t="shared" si="63"/>
        <v>#DIV/0!</v>
      </c>
      <c r="R161" s="703" t="e">
        <f t="shared" si="63"/>
        <v>#DIV/0!</v>
      </c>
      <c r="S161" s="703" t="e">
        <f t="shared" si="63"/>
        <v>#DIV/0!</v>
      </c>
      <c r="T161" s="703" t="e">
        <f t="shared" si="63"/>
        <v>#DIV/0!</v>
      </c>
      <c r="U161" s="703" t="e">
        <f t="shared" si="63"/>
        <v>#DIV/0!</v>
      </c>
      <c r="V161" s="703" t="e">
        <f t="shared" si="63"/>
        <v>#DIV/0!</v>
      </c>
      <c r="W161" s="703" t="e">
        <f t="shared" si="63"/>
        <v>#DIV/0!</v>
      </c>
      <c r="X161" s="703" t="e">
        <f t="shared" si="63"/>
        <v>#DIV/0!</v>
      </c>
      <c r="Y161" s="703" t="e">
        <f t="shared" si="63"/>
        <v>#DIV/0!</v>
      </c>
      <c r="Z161" s="703"/>
      <c r="AA161" s="802" t="e">
        <f>SUM(D161:Y161)+X163+Y165</f>
        <v>#DIV/0!</v>
      </c>
      <c r="AB161" s="299"/>
    </row>
    <row r="162" spans="1:36" ht="15.75">
      <c r="A162" s="300"/>
      <c r="B162" s="298"/>
      <c r="C162" s="298"/>
      <c r="D162" s="703"/>
      <c r="E162" s="703"/>
      <c r="F162" s="703"/>
      <c r="G162" s="703"/>
      <c r="H162" s="703"/>
      <c r="I162" s="703"/>
      <c r="J162" s="703"/>
      <c r="K162" s="703"/>
      <c r="L162" s="703"/>
      <c r="M162" s="703"/>
      <c r="N162" s="703"/>
      <c r="O162" s="703"/>
      <c r="P162" s="703"/>
      <c r="Q162" s="703"/>
      <c r="R162" s="703"/>
      <c r="S162" s="703"/>
      <c r="T162" s="703"/>
      <c r="U162" s="703"/>
      <c r="V162" s="703"/>
      <c r="W162" s="703"/>
      <c r="X162" s="703"/>
      <c r="Y162" s="703"/>
      <c r="Z162" s="703"/>
      <c r="AA162" s="705" t="e">
        <f>SUM(AA160:AA161)</f>
        <v>#DIV/0!</v>
      </c>
      <c r="AB162" s="299"/>
    </row>
    <row r="163" spans="1:36" ht="15.75">
      <c r="A163" s="300"/>
      <c r="B163" s="298"/>
      <c r="C163" s="298"/>
      <c r="D163" s="703"/>
      <c r="E163" s="703"/>
      <c r="F163" s="703"/>
      <c r="G163" s="703"/>
      <c r="H163" s="703"/>
      <c r="I163" s="703"/>
      <c r="J163" s="703"/>
      <c r="K163" s="703"/>
      <c r="L163" s="703"/>
      <c r="M163" s="703"/>
      <c r="N163" s="703"/>
      <c r="O163" s="703"/>
      <c r="P163" s="703"/>
      <c r="Q163" s="703"/>
      <c r="R163" s="703"/>
      <c r="S163" s="703"/>
      <c r="T163" s="703"/>
      <c r="U163" s="703"/>
      <c r="V163" s="703"/>
      <c r="W163" s="703" t="e">
        <f>(X6-W6)/30</f>
        <v>#N/A</v>
      </c>
      <c r="X163" s="703" t="e">
        <f>W163*W157</f>
        <v>#N/A</v>
      </c>
      <c r="Y163" s="703"/>
      <c r="Z163" s="703"/>
      <c r="AA163" s="705"/>
      <c r="AB163" s="299"/>
    </row>
    <row r="164" spans="1:36" ht="15.75">
      <c r="A164" s="300"/>
      <c r="B164" s="298"/>
      <c r="C164" s="298"/>
      <c r="D164" s="703"/>
      <c r="E164" s="703"/>
      <c r="F164" s="703"/>
      <c r="G164" s="703"/>
      <c r="H164" s="703"/>
      <c r="I164" s="703"/>
      <c r="J164" s="703"/>
      <c r="K164" s="703"/>
      <c r="L164" s="703"/>
      <c r="M164" s="703"/>
      <c r="N164" s="703"/>
      <c r="O164" s="703"/>
      <c r="P164" s="703"/>
      <c r="Q164" s="703"/>
      <c r="R164" s="703"/>
      <c r="S164" s="703"/>
      <c r="T164" s="703"/>
      <c r="U164" s="703"/>
      <c r="V164" s="703"/>
      <c r="W164" s="703"/>
      <c r="X164" s="800"/>
      <c r="Y164" s="703"/>
      <c r="Z164" s="703"/>
      <c r="AA164" s="703"/>
      <c r="AB164" s="299"/>
    </row>
    <row r="165" spans="1:36" ht="15.75">
      <c r="A165" s="300"/>
      <c r="B165" s="298"/>
      <c r="C165" s="298"/>
      <c r="D165" s="703"/>
      <c r="E165" s="703"/>
      <c r="F165" s="703"/>
      <c r="G165" s="703"/>
      <c r="H165" s="703"/>
      <c r="I165" s="703"/>
      <c r="J165" s="703"/>
      <c r="K165" s="703"/>
      <c r="L165" s="703"/>
      <c r="M165" s="703"/>
      <c r="N165" s="703"/>
      <c r="O165" s="703"/>
      <c r="P165" s="703"/>
      <c r="Q165" s="703"/>
      <c r="R165" s="703"/>
      <c r="S165" s="703"/>
      <c r="T165" s="703"/>
      <c r="U165" s="703"/>
      <c r="V165" s="703"/>
      <c r="W165" s="703"/>
      <c r="X165" s="800" t="e">
        <f>(Y6-X6)/30</f>
        <v>#N/A</v>
      </c>
      <c r="Y165" s="703" t="e">
        <f>X165*X157</f>
        <v>#N/A</v>
      </c>
      <c r="Z165" s="703"/>
      <c r="AA165" s="703"/>
      <c r="AB165" s="299"/>
    </row>
    <row r="166" spans="1:36" ht="15.75">
      <c r="A166" s="300"/>
      <c r="B166" s="298"/>
      <c r="C166" s="298"/>
      <c r="D166" s="703"/>
      <c r="E166" s="703"/>
      <c r="F166" s="703"/>
      <c r="G166" s="703"/>
      <c r="H166" s="703"/>
      <c r="I166" s="703"/>
      <c r="J166" s="703"/>
      <c r="K166" s="703"/>
      <c r="L166" s="703"/>
      <c r="M166" s="703"/>
      <c r="N166" s="703"/>
      <c r="O166" s="703"/>
      <c r="P166" s="703"/>
      <c r="Q166" s="703"/>
      <c r="R166" s="703"/>
      <c r="S166" s="703"/>
      <c r="T166" s="703"/>
      <c r="U166" s="703"/>
      <c r="V166" s="703"/>
      <c r="W166" s="703"/>
      <c r="X166" s="800"/>
      <c r="Y166" s="703"/>
      <c r="Z166" s="703"/>
      <c r="AA166" s="703"/>
      <c r="AB166" s="299"/>
    </row>
    <row r="167" spans="1:36" ht="15.75">
      <c r="A167" s="300"/>
      <c r="B167" s="298"/>
      <c r="C167" s="298"/>
      <c r="D167" s="300"/>
      <c r="E167" s="298"/>
      <c r="F167" s="298"/>
      <c r="G167" s="298"/>
      <c r="H167" s="298"/>
      <c r="I167" s="298"/>
      <c r="J167" s="298"/>
      <c r="K167" s="298"/>
      <c r="L167" s="298"/>
      <c r="M167" s="298"/>
      <c r="N167" s="298"/>
      <c r="O167" s="298"/>
      <c r="P167" s="298"/>
      <c r="Q167" s="298"/>
      <c r="R167" s="298"/>
      <c r="S167" s="298"/>
      <c r="T167" s="298"/>
      <c r="U167" s="298"/>
      <c r="V167" s="298"/>
      <c r="W167" s="298"/>
      <c r="X167" s="330"/>
      <c r="Y167" s="298"/>
      <c r="Z167" s="298"/>
      <c r="AA167" s="298"/>
      <c r="AB167" s="299"/>
    </row>
    <row r="168" spans="1:36" ht="15.75">
      <c r="A168" s="300"/>
      <c r="B168" s="298"/>
      <c r="C168" s="298"/>
      <c r="D168" s="478">
        <f>'Timing-Leasing-TC Delivery'!$E$15</f>
        <v>1</v>
      </c>
      <c r="E168" s="365">
        <f>'Timing-Leasing-TC Delivery'!$E$16</f>
        <v>32</v>
      </c>
      <c r="F168" s="365">
        <f>'Timing-Leasing-TC Delivery'!$E$17</f>
        <v>61</v>
      </c>
      <c r="G168" s="365">
        <f>'Timing-Leasing-TC Delivery'!$E$18</f>
        <v>92</v>
      </c>
      <c r="H168" s="365">
        <f>'Timing-Leasing-TC Delivery'!$E$19</f>
        <v>122</v>
      </c>
      <c r="I168" s="365">
        <f>'Timing-Leasing-TC Delivery'!$E$20</f>
        <v>153</v>
      </c>
      <c r="J168" s="365">
        <f>'Timing-Leasing-TC Delivery'!$E$21</f>
        <v>183</v>
      </c>
      <c r="K168" s="365">
        <f>'Timing-Leasing-TC Delivery'!$E$22</f>
        <v>214</v>
      </c>
      <c r="L168" s="365">
        <f>'Timing-Leasing-TC Delivery'!$E$23</f>
        <v>245</v>
      </c>
      <c r="M168" s="365">
        <f>'Timing-Leasing-TC Delivery'!$E$24</f>
        <v>275</v>
      </c>
      <c r="N168" s="365">
        <f>'Timing-Leasing-TC Delivery'!$E$25</f>
        <v>306</v>
      </c>
      <c r="O168" s="365">
        <f>'Timing-Leasing-TC Delivery'!$E$26</f>
        <v>336</v>
      </c>
      <c r="P168" s="365">
        <f>'Timing-Leasing-TC Delivery'!$E$36</f>
        <v>367</v>
      </c>
      <c r="Q168" s="365">
        <f>'Timing-Leasing-TC Delivery'!$E$37</f>
        <v>398</v>
      </c>
      <c r="R168" s="365">
        <f>'Timing-Leasing-TC Delivery'!$E$38</f>
        <v>426</v>
      </c>
      <c r="S168" s="365">
        <f>'Timing-Leasing-TC Delivery'!$E$39</f>
        <v>457</v>
      </c>
      <c r="T168" s="365">
        <f>'Timing-Leasing-TC Delivery'!$E$40</f>
        <v>487</v>
      </c>
      <c r="U168" s="365">
        <f>'Timing-Leasing-TC Delivery'!$E$41</f>
        <v>518</v>
      </c>
      <c r="V168" s="365">
        <f>'Timing-Leasing-TC Delivery'!$E$42</f>
        <v>548</v>
      </c>
      <c r="W168" s="453"/>
      <c r="X168" s="330"/>
      <c r="Y168" s="453"/>
      <c r="Z168" s="298"/>
      <c r="AA168" s="298"/>
      <c r="AB168" s="299"/>
    </row>
    <row r="169" spans="1:36" ht="15.75">
      <c r="A169" s="300"/>
      <c r="B169" s="298" t="s">
        <v>958</v>
      </c>
      <c r="C169" s="298"/>
      <c r="D169" s="801">
        <f>'Timing-Leasing-TC Delivery'!$G$15</f>
        <v>0</v>
      </c>
      <c r="E169" s="703">
        <f>'Timing-Leasing-TC Delivery'!$G$16</f>
        <v>0</v>
      </c>
      <c r="F169" s="703">
        <f>'Timing-Leasing-TC Delivery'!$G$17</f>
        <v>0</v>
      </c>
      <c r="G169" s="703">
        <f>'Timing-Leasing-TC Delivery'!$G$18</f>
        <v>0</v>
      </c>
      <c r="H169" s="703">
        <f>'Timing-Leasing-TC Delivery'!$G$19</f>
        <v>0</v>
      </c>
      <c r="I169" s="703">
        <f>'Timing-Leasing-TC Delivery'!$G$20</f>
        <v>0</v>
      </c>
      <c r="J169" s="703">
        <f>'Timing-Leasing-TC Delivery'!$G$21</f>
        <v>0</v>
      </c>
      <c r="K169" s="703">
        <f>'Timing-Leasing-TC Delivery'!$G$22</f>
        <v>0</v>
      </c>
      <c r="L169" s="703">
        <f>'Timing-Leasing-TC Delivery'!$G$23</f>
        <v>0</v>
      </c>
      <c r="M169" s="703">
        <f>'Timing-Leasing-TC Delivery'!$G$24</f>
        <v>0</v>
      </c>
      <c r="N169" s="703">
        <f>'Timing-Leasing-TC Delivery'!$G$25</f>
        <v>0</v>
      </c>
      <c r="O169" s="703">
        <f>'Timing-Leasing-TC Delivery'!$G$26</f>
        <v>0</v>
      </c>
      <c r="P169" s="703">
        <f>'Timing-Leasing-TC Delivery'!$G$36</f>
        <v>0</v>
      </c>
      <c r="Q169" s="703">
        <f>'Timing-Leasing-TC Delivery'!$G$37</f>
        <v>0</v>
      </c>
      <c r="R169" s="703">
        <f>'Timing-Leasing-TC Delivery'!$G$38</f>
        <v>0</v>
      </c>
      <c r="S169" s="703">
        <f>'Timing-Leasing-TC Delivery'!$G$39</f>
        <v>0</v>
      </c>
      <c r="T169" s="703">
        <f>'Timing-Leasing-TC Delivery'!$G$40</f>
        <v>0</v>
      </c>
      <c r="U169" s="703">
        <f>'Timing-Leasing-TC Delivery'!$G$41</f>
        <v>0</v>
      </c>
      <c r="V169" s="703">
        <f>'Timing-Leasing-TC Delivery'!$G$42</f>
        <v>0</v>
      </c>
      <c r="W169" s="453"/>
      <c r="X169" s="330"/>
      <c r="Y169" s="453"/>
      <c r="Z169" s="298"/>
      <c r="AA169" s="298"/>
      <c r="AB169" s="299"/>
    </row>
    <row r="170" spans="1:36" ht="15.75">
      <c r="A170" s="300"/>
      <c r="C170" s="453"/>
      <c r="D170" s="479"/>
      <c r="E170" s="480"/>
      <c r="F170" s="480"/>
      <c r="G170" s="480"/>
      <c r="H170" s="480"/>
      <c r="I170" s="480"/>
      <c r="J170" s="480"/>
      <c r="K170" s="480"/>
      <c r="L170" s="480"/>
      <c r="M170" s="480"/>
      <c r="N170" s="480"/>
      <c r="O170" s="480"/>
      <c r="P170" s="480"/>
      <c r="Q170" s="480"/>
      <c r="R170" s="480"/>
      <c r="S170" s="480"/>
      <c r="T170" s="480"/>
      <c r="U170" s="480"/>
      <c r="V170" s="480"/>
      <c r="W170" s="453"/>
      <c r="X170" s="330"/>
      <c r="Y170" s="453"/>
      <c r="Z170" s="298"/>
      <c r="AA170" s="298"/>
      <c r="AB170" s="299"/>
    </row>
    <row r="171" spans="1:36" ht="15.75">
      <c r="A171" s="300"/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98"/>
      <c r="U171" s="298"/>
      <c r="V171" s="298"/>
      <c r="W171" s="333"/>
      <c r="X171" s="333"/>
      <c r="Y171" s="333"/>
      <c r="Z171" s="298"/>
      <c r="AA171" s="298"/>
      <c r="AB171" s="299"/>
    </row>
    <row r="172" spans="1:36" ht="15.75" customHeight="1">
      <c r="A172" s="404"/>
      <c r="C172" s="400"/>
      <c r="E172" s="400"/>
      <c r="F172" s="400"/>
      <c r="G172" s="400"/>
      <c r="H172" s="400"/>
      <c r="I172" s="400"/>
      <c r="J172" s="400"/>
      <c r="K172" s="400"/>
      <c r="L172" s="400"/>
      <c r="M172" s="400"/>
      <c r="N172" s="400"/>
      <c r="O172" s="400"/>
      <c r="P172" s="400"/>
      <c r="Q172" s="400"/>
      <c r="R172" s="400"/>
      <c r="S172" s="400"/>
      <c r="T172" s="400"/>
      <c r="U172" s="400"/>
      <c r="V172" s="400"/>
      <c r="W172" s="400"/>
      <c r="X172" s="401"/>
      <c r="Y172" s="400"/>
      <c r="Z172" s="400"/>
      <c r="AA172" s="400"/>
      <c r="AB172" s="402"/>
    </row>
    <row r="173" spans="1:36" ht="15.75" customHeight="1">
      <c r="B173" s="325" t="s">
        <v>962</v>
      </c>
      <c r="C173" s="400"/>
      <c r="D173" s="403"/>
      <c r="N173" s="403"/>
      <c r="O173" s="400"/>
      <c r="P173" s="400"/>
      <c r="Q173" s="400"/>
      <c r="R173" s="400"/>
      <c r="S173" s="400"/>
      <c r="T173" s="400"/>
      <c r="U173" s="400"/>
      <c r="V173" s="400"/>
      <c r="AB173" s="402"/>
    </row>
    <row r="174" spans="1:36" ht="15.75" customHeight="1">
      <c r="C174" s="400"/>
    </row>
    <row r="175" spans="1:36" s="298" customFormat="1" ht="15.75" customHeight="1">
      <c r="C175" s="333"/>
      <c r="D175" s="333"/>
      <c r="E175" s="333"/>
      <c r="F175" s="333"/>
      <c r="G175" s="333"/>
      <c r="H175" s="333"/>
      <c r="I175" s="333"/>
      <c r="J175" s="333"/>
      <c r="K175" s="333"/>
      <c r="L175" s="333"/>
      <c r="M175" s="334"/>
      <c r="N175" s="333"/>
      <c r="O175" s="333"/>
      <c r="P175" s="333"/>
      <c r="Q175" s="333"/>
      <c r="R175" s="333"/>
      <c r="S175" s="333"/>
      <c r="T175" s="333"/>
      <c r="U175" s="333"/>
      <c r="V175" s="333"/>
      <c r="W175" s="333"/>
      <c r="X175" s="335"/>
      <c r="Y175" s="333"/>
      <c r="Z175" s="333"/>
      <c r="AA175" s="333"/>
      <c r="AB175" s="317"/>
      <c r="AF175" s="455"/>
      <c r="AG175" s="453"/>
      <c r="AH175" s="453"/>
      <c r="AI175" s="453"/>
      <c r="AJ175" s="453"/>
    </row>
    <row r="176" spans="1:36" s="298" customFormat="1" ht="15.75" customHeight="1">
      <c r="C176" s="333"/>
      <c r="D176" s="333"/>
      <c r="E176" s="333"/>
      <c r="F176" s="333"/>
      <c r="G176" s="333"/>
      <c r="H176" s="333"/>
      <c r="I176" s="333"/>
      <c r="J176" s="333"/>
      <c r="K176" s="333"/>
      <c r="L176" s="333"/>
      <c r="M176" s="333"/>
      <c r="N176" s="333"/>
      <c r="O176" s="333"/>
      <c r="P176" s="333"/>
      <c r="Q176" s="333"/>
      <c r="R176" s="333"/>
      <c r="S176" s="333"/>
      <c r="T176" s="333"/>
      <c r="U176" s="333"/>
      <c r="V176" s="333"/>
      <c r="W176" s="333"/>
      <c r="X176" s="335"/>
      <c r="Y176" s="333"/>
      <c r="Z176" s="333"/>
      <c r="AA176" s="333"/>
      <c r="AB176" s="317"/>
      <c r="AF176" s="455"/>
      <c r="AG176" s="453"/>
      <c r="AH176" s="453"/>
      <c r="AI176" s="453"/>
      <c r="AJ176" s="453"/>
    </row>
    <row r="177" spans="19:36" s="298" customFormat="1" ht="15.75" customHeight="1">
      <c r="S177" s="333"/>
      <c r="T177" s="333"/>
      <c r="U177" s="333"/>
      <c r="V177" s="333"/>
      <c r="X177" s="330"/>
      <c r="AB177" s="317"/>
      <c r="AF177" s="455"/>
      <c r="AG177" s="453"/>
      <c r="AH177" s="453"/>
      <c r="AI177" s="453"/>
      <c r="AJ177" s="453"/>
    </row>
    <row r="178" spans="19:36" s="298" customFormat="1" ht="15.75" customHeight="1">
      <c r="S178" s="336"/>
      <c r="T178" s="336"/>
      <c r="U178" s="336"/>
      <c r="V178" s="336"/>
      <c r="X178" s="330"/>
      <c r="AB178" s="317"/>
      <c r="AF178" s="455"/>
      <c r="AG178" s="453"/>
      <c r="AH178" s="453"/>
      <c r="AI178" s="453"/>
      <c r="AJ178" s="453"/>
    </row>
    <row r="179" spans="19:36" s="298" customFormat="1" ht="15.75" customHeight="1">
      <c r="X179" s="330"/>
      <c r="AB179" s="317"/>
      <c r="AF179" s="455"/>
      <c r="AG179" s="453"/>
      <c r="AH179" s="453"/>
      <c r="AI179" s="453"/>
      <c r="AJ179" s="453"/>
    </row>
    <row r="180" spans="19:36" s="298" customFormat="1" ht="15.75" customHeight="1">
      <c r="X180" s="330"/>
      <c r="AB180" s="317"/>
      <c r="AF180" s="455"/>
      <c r="AG180" s="453"/>
      <c r="AH180" s="453"/>
      <c r="AI180" s="453"/>
      <c r="AJ180" s="453"/>
    </row>
    <row r="181" spans="19:36" s="298" customFormat="1" ht="15.75" customHeight="1">
      <c r="X181" s="330"/>
      <c r="AB181" s="317"/>
      <c r="AF181" s="455"/>
      <c r="AG181" s="453"/>
      <c r="AH181" s="453"/>
      <c r="AI181" s="453"/>
      <c r="AJ181" s="453"/>
    </row>
    <row r="182" spans="19:36" s="298" customFormat="1" ht="15.75" customHeight="1">
      <c r="X182" s="330"/>
      <c r="AB182" s="317"/>
      <c r="AF182" s="455"/>
      <c r="AG182" s="453"/>
      <c r="AH182" s="453"/>
      <c r="AI182" s="453"/>
      <c r="AJ182" s="453"/>
    </row>
    <row r="183" spans="19:36" s="337" customFormat="1" ht="15.75" customHeight="1">
      <c r="X183" s="338"/>
      <c r="AB183" s="339"/>
      <c r="AF183" s="456"/>
      <c r="AG183" s="344"/>
      <c r="AH183" s="344"/>
      <c r="AI183" s="344"/>
      <c r="AJ183" s="344"/>
    </row>
    <row r="184" spans="19:36" s="337" customFormat="1" ht="15.75" customHeight="1">
      <c r="X184" s="338"/>
      <c r="AB184" s="339"/>
      <c r="AF184" s="456"/>
      <c r="AG184" s="344"/>
      <c r="AH184" s="344"/>
      <c r="AI184" s="344"/>
      <c r="AJ184" s="344"/>
    </row>
    <row r="185" spans="19:36" s="337" customFormat="1" ht="15.75" customHeight="1">
      <c r="X185" s="338"/>
      <c r="AB185" s="339"/>
      <c r="AF185" s="456"/>
      <c r="AG185" s="344"/>
      <c r="AH185" s="344"/>
      <c r="AI185" s="344"/>
      <c r="AJ185" s="344"/>
    </row>
    <row r="186" spans="19:36" s="337" customFormat="1" ht="15.75" customHeight="1">
      <c r="X186" s="338"/>
      <c r="AB186" s="339"/>
      <c r="AF186" s="456"/>
      <c r="AG186" s="344"/>
      <c r="AH186" s="344"/>
      <c r="AI186" s="344"/>
      <c r="AJ186" s="344"/>
    </row>
    <row r="187" spans="19:36" s="337" customFormat="1" ht="15.75" customHeight="1">
      <c r="X187" s="338"/>
      <c r="AB187" s="339"/>
      <c r="AF187" s="456"/>
      <c r="AG187" s="344"/>
      <c r="AH187" s="344"/>
      <c r="AI187" s="344"/>
      <c r="AJ187" s="344"/>
    </row>
    <row r="188" spans="19:36" s="337" customFormat="1" ht="15.75" customHeight="1">
      <c r="X188" s="338"/>
      <c r="AB188" s="339"/>
      <c r="AF188" s="456"/>
      <c r="AG188" s="344"/>
      <c r="AH188" s="344"/>
      <c r="AI188" s="344"/>
      <c r="AJ188" s="344"/>
    </row>
    <row r="189" spans="19:36" s="337" customFormat="1" ht="15.75" customHeight="1">
      <c r="X189" s="338"/>
      <c r="AB189" s="339"/>
      <c r="AF189" s="456"/>
      <c r="AG189" s="344"/>
      <c r="AH189" s="344"/>
      <c r="AI189" s="344"/>
      <c r="AJ189" s="344"/>
    </row>
    <row r="190" spans="19:36" s="337" customFormat="1" ht="15.75" customHeight="1">
      <c r="X190" s="338"/>
      <c r="AB190" s="339"/>
      <c r="AF190" s="456"/>
      <c r="AG190" s="344"/>
      <c r="AH190" s="344"/>
      <c r="AI190" s="344"/>
      <c r="AJ190" s="344"/>
    </row>
    <row r="191" spans="19:36" ht="15.75" customHeight="1"/>
    <row r="192" spans="19:36" ht="15">
      <c r="AB192" s="340"/>
    </row>
  </sheetData>
  <mergeCells count="5">
    <mergeCell ref="B32:AA32"/>
    <mergeCell ref="B1:AA1"/>
    <mergeCell ref="B2:AA2"/>
    <mergeCell ref="E5:V5"/>
    <mergeCell ref="B13:AA13"/>
  </mergeCells>
  <phoneticPr fontId="7" type="noConversion"/>
  <printOptions horizontalCentered="1"/>
  <pageMargins left="0.5" right="0.5" top="0.5" bottom="0.5" header="0.3" footer="0.3"/>
  <pageSetup scale="47" fitToHeight="2" orientation="landscape" r:id="rId1"/>
  <headerFooter alignWithMargins="0">
    <oddFooter>&amp;LPRIVELEGED AND CONFIDENTIAL&amp;R&amp;G</oddFooter>
  </headerFooter>
  <legacy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62F6-9F38-480B-B3A3-5083EE6FED7D}">
  <sheetPr>
    <tabColor rgb="FF38B6A1"/>
    <pageSetUpPr fitToPage="1"/>
  </sheetPr>
  <dimension ref="A1:AS95"/>
  <sheetViews>
    <sheetView topLeftCell="E64" zoomScale="90" zoomScaleNormal="90" zoomScaleSheetLayoutView="90" workbookViewId="0">
      <selection activeCell="AX12" sqref="AX12"/>
    </sheetView>
  </sheetViews>
  <sheetFormatPr defaultColWidth="9.140625" defaultRowHeight="12.75"/>
  <cols>
    <col min="1" max="1" width="3.85546875" style="290" hidden="1" customWidth="1"/>
    <col min="2" max="2" width="5.5703125" style="290" hidden="1" customWidth="1"/>
    <col min="3" max="3" width="5" style="290" hidden="1" customWidth="1"/>
    <col min="4" max="4" width="5.85546875" style="290" hidden="1" customWidth="1"/>
    <col min="5" max="5" width="9.140625" style="290"/>
    <col min="6" max="6" width="10.85546875" style="290" customWidth="1"/>
    <col min="7" max="8" width="9.140625" style="290"/>
    <col min="9" max="9" width="9.5703125" style="290" customWidth="1"/>
    <col min="10" max="10" width="9.140625" style="290"/>
    <col min="11" max="11" width="13" style="290" customWidth="1"/>
    <col min="12" max="12" width="10.140625" style="290" customWidth="1"/>
    <col min="13" max="13" width="14.140625" style="290" bestFit="1" customWidth="1"/>
    <col min="14" max="14" width="9.5703125" style="290" customWidth="1"/>
    <col min="15" max="15" width="13.140625" style="290" customWidth="1"/>
    <col min="16" max="16" width="11.42578125" style="290" customWidth="1"/>
    <col min="17" max="17" width="13.5703125" style="290" customWidth="1"/>
    <col min="18" max="18" width="12.85546875" style="290" hidden="1" customWidth="1"/>
    <col min="19" max="21" width="16" style="290" hidden="1" customWidth="1"/>
    <col min="22" max="22" width="11.42578125" style="290" hidden="1" customWidth="1"/>
    <col min="23" max="23" width="4" style="290" hidden="1" customWidth="1"/>
    <col min="24" max="24" width="12.5703125" style="290" hidden="1" customWidth="1"/>
    <col min="25" max="25" width="14" style="290" hidden="1" customWidth="1"/>
    <col min="26" max="26" width="1.42578125" style="290" hidden="1" customWidth="1"/>
    <col min="27" max="27" width="13.42578125" style="290" customWidth="1"/>
    <col min="28" max="32" width="8" style="290" hidden="1" customWidth="1"/>
    <col min="33" max="33" width="8.42578125" style="290" hidden="1" customWidth="1"/>
    <col min="34" max="35" width="8" style="290" hidden="1" customWidth="1"/>
    <col min="36" max="36" width="11.140625" style="290" hidden="1" customWidth="1"/>
    <col min="37" max="37" width="8.140625" style="290" hidden="1" customWidth="1"/>
    <col min="38" max="38" width="8" style="290" hidden="1" customWidth="1"/>
    <col min="39" max="39" width="10.140625" style="290" hidden="1" customWidth="1"/>
    <col min="40" max="40" width="8.85546875" style="290" hidden="1" customWidth="1"/>
    <col min="41" max="41" width="11.42578125" style="290" hidden="1" customWidth="1"/>
    <col min="42" max="42" width="9.85546875" style="290" hidden="1" customWidth="1"/>
    <col min="43" max="43" width="9.140625" style="290" hidden="1" customWidth="1"/>
    <col min="44" max="44" width="3.5703125" style="290" customWidth="1"/>
    <col min="45" max="16384" width="9.140625" style="290"/>
  </cols>
  <sheetData>
    <row r="1" spans="5:45" ht="18.75">
      <c r="E1" s="1756" t="str">
        <f>UPPER('Input Page'!$F$32)</f>
        <v/>
      </c>
      <c r="F1" s="1756"/>
      <c r="G1" s="1756"/>
      <c r="H1" s="1756"/>
      <c r="I1" s="1756"/>
      <c r="J1" s="1756"/>
      <c r="K1" s="1756"/>
      <c r="L1" s="1756"/>
      <c r="M1" s="1756"/>
      <c r="N1" s="1756"/>
      <c r="O1" s="1756"/>
      <c r="P1" s="1756"/>
      <c r="Q1" s="1756"/>
      <c r="R1" s="1756"/>
      <c r="S1" s="1756"/>
      <c r="T1" s="1756"/>
      <c r="U1" s="1756"/>
      <c r="V1" s="1756"/>
      <c r="W1" s="1756"/>
      <c r="X1" s="1756"/>
      <c r="Y1" s="1756"/>
      <c r="Z1" s="1756"/>
      <c r="AA1" s="1756"/>
    </row>
    <row r="2" spans="5:45" ht="18.75">
      <c r="E2" s="1756" t="s">
        <v>963</v>
      </c>
      <c r="F2" s="1756"/>
      <c r="G2" s="1756"/>
      <c r="H2" s="1756"/>
      <c r="I2" s="1756"/>
      <c r="J2" s="1756"/>
      <c r="K2" s="1756"/>
      <c r="L2" s="1756"/>
      <c r="M2" s="1756"/>
      <c r="N2" s="1756"/>
      <c r="O2" s="1756"/>
      <c r="P2" s="1756"/>
      <c r="Q2" s="1756"/>
      <c r="R2" s="1756"/>
      <c r="S2" s="1756"/>
      <c r="T2" s="1756"/>
      <c r="U2" s="1756"/>
      <c r="V2" s="1756"/>
      <c r="W2" s="1756"/>
      <c r="X2" s="1756"/>
      <c r="Y2" s="1756"/>
      <c r="Z2" s="1756"/>
      <c r="AA2" s="1756"/>
      <c r="AD2" s="291"/>
      <c r="AE2" s="291"/>
      <c r="AF2" s="291"/>
    </row>
    <row r="3" spans="5:45" ht="13.5" thickBot="1">
      <c r="E3" s="1757"/>
      <c r="F3" s="1757"/>
      <c r="G3" s="1757"/>
      <c r="H3" s="1757"/>
      <c r="I3" s="1757"/>
      <c r="J3" s="1757"/>
      <c r="K3" s="1757"/>
      <c r="L3" s="1757"/>
      <c r="M3" s="1757"/>
      <c r="N3" s="1757"/>
      <c r="O3" s="1757"/>
      <c r="P3" s="1757"/>
      <c r="Q3" s="1757"/>
      <c r="R3" s="1757"/>
      <c r="S3" s="1757"/>
      <c r="T3" s="1757"/>
      <c r="U3" s="1757"/>
      <c r="V3" s="1757"/>
      <c r="W3" s="1757"/>
      <c r="X3" s="1757"/>
      <c r="Y3" s="1757"/>
      <c r="Z3" s="1757"/>
      <c r="AA3" s="1757"/>
    </row>
    <row r="5" spans="5:45" ht="15.75">
      <c r="E5" s="585" t="s">
        <v>964</v>
      </c>
      <c r="F5" s="585"/>
      <c r="G5" s="1189">
        <f>YEAR(H5)</f>
        <v>1900</v>
      </c>
      <c r="H5" s="364"/>
      <c r="I5" s="585"/>
      <c r="J5" s="585" t="s">
        <v>965</v>
      </c>
      <c r="K5" s="585"/>
      <c r="L5" s="585"/>
      <c r="M5" s="586"/>
      <c r="N5" s="585"/>
      <c r="O5" s="585" t="s">
        <v>966</v>
      </c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7" t="e">
        <f>IF(AND($P$15&gt;0.9,$P$26=1),YEAR($E$15),IF(AND($P$36&gt;0.9,$P$47=1),YEAR($E$36),IF(AND($P$57&gt;0.9,$P$68=1),YEAR($E$57),IF(AND($P$78&gt;0.9,$P$89=1),YEAR($E$78),"ERROR"))))</f>
        <v>#DIV/0!</v>
      </c>
    </row>
    <row r="6" spans="5:45" s="291" customFormat="1" ht="15.75">
      <c r="E6" s="585" t="s">
        <v>967</v>
      </c>
      <c r="F6" s="585"/>
      <c r="G6" s="585"/>
      <c r="H6" s="364"/>
      <c r="I6" s="585"/>
      <c r="J6" s="585" t="s">
        <v>968</v>
      </c>
      <c r="K6" s="585"/>
      <c r="L6" s="585"/>
      <c r="M6" s="364"/>
      <c r="N6" s="585"/>
      <c r="O6" s="585" t="s">
        <v>969</v>
      </c>
      <c r="P6" s="587"/>
      <c r="Q6" s="585"/>
      <c r="R6" s="585"/>
      <c r="S6" s="585"/>
      <c r="T6" s="585"/>
      <c r="U6" s="585"/>
      <c r="V6" s="585"/>
      <c r="W6" s="585"/>
      <c r="X6" s="585"/>
      <c r="Y6" s="585"/>
      <c r="Z6" s="585"/>
      <c r="AA6" s="591">
        <f>'Unit Mix'!D39</f>
        <v>0</v>
      </c>
    </row>
    <row r="7" spans="5:45" s="291" customFormat="1" ht="15.75">
      <c r="E7" s="585" t="s">
        <v>970</v>
      </c>
      <c r="F7" s="585"/>
      <c r="G7" s="585"/>
      <c r="H7" s="364"/>
      <c r="I7" s="585"/>
      <c r="J7" s="585" t="s">
        <v>971</v>
      </c>
      <c r="K7" s="585"/>
      <c r="L7" s="585"/>
      <c r="M7" s="364"/>
      <c r="N7" s="585"/>
      <c r="O7" s="585" t="s">
        <v>972</v>
      </c>
      <c r="P7" s="585"/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91">
        <f>'Unit Mix'!$D$27</f>
        <v>0</v>
      </c>
    </row>
    <row r="8" spans="5:45" s="291" customFormat="1" ht="15.75">
      <c r="E8" s="585" t="s">
        <v>973</v>
      </c>
      <c r="F8" s="585"/>
      <c r="G8" s="585"/>
      <c r="H8" s="588">
        <f>(YEAR(H7)-YEAR(H6))*12+MONTH(H7)-MONTH(H6)+1</f>
        <v>1</v>
      </c>
      <c r="I8" s="585"/>
      <c r="J8" s="585" t="s">
        <v>974</v>
      </c>
      <c r="K8" s="587"/>
      <c r="L8" s="585"/>
      <c r="M8" s="588">
        <f>(YEAR(M7)-YEAR(M6))*12+MONTH(M7)-MONTH(M6)+1</f>
        <v>1</v>
      </c>
      <c r="N8" s="585"/>
      <c r="O8" s="585" t="s">
        <v>614</v>
      </c>
      <c r="P8" s="585"/>
      <c r="Q8" s="585"/>
      <c r="R8" s="585"/>
      <c r="S8" s="585"/>
      <c r="T8" s="585"/>
      <c r="U8" s="585"/>
      <c r="V8" s="585"/>
      <c r="W8" s="585"/>
      <c r="X8" s="585"/>
      <c r="Y8" s="585"/>
      <c r="Z8" s="585"/>
      <c r="AA8" s="591">
        <f>'Unit Mix'!$D$38</f>
        <v>0</v>
      </c>
    </row>
    <row r="9" spans="5:45" s="291" customFormat="1" ht="15.75" customHeight="1">
      <c r="J9" s="585" t="s">
        <v>975</v>
      </c>
      <c r="M9" s="599" t="e">
        <f>VLOOKUP(4,'Timing-Leasing-TC Delivery'!AF14:AG89,2)</f>
        <v>#N/A</v>
      </c>
    </row>
    <row r="10" spans="5:45" s="291" customFormat="1" ht="15" customHeight="1">
      <c r="AM10" s="356" t="s">
        <v>976</v>
      </c>
      <c r="AN10" s="356" t="s">
        <v>977</v>
      </c>
      <c r="AO10" s="356" t="s">
        <v>978</v>
      </c>
      <c r="AP10" s="356" t="s">
        <v>979</v>
      </c>
      <c r="AQ10" s="356" t="s">
        <v>980</v>
      </c>
      <c r="AR10" s="292"/>
      <c r="AS10" s="292"/>
    </row>
    <row r="11" spans="5:45" s="585" customFormat="1" ht="15.75">
      <c r="F11" s="589" t="s">
        <v>981</v>
      </c>
      <c r="G11" s="589"/>
      <c r="H11" s="589" t="s">
        <v>226</v>
      </c>
      <c r="I11" s="589" t="s">
        <v>982</v>
      </c>
      <c r="J11" s="589"/>
      <c r="K11" s="589" t="s">
        <v>903</v>
      </c>
      <c r="L11" s="589" t="s">
        <v>983</v>
      </c>
      <c r="M11" s="589" t="s">
        <v>903</v>
      </c>
      <c r="N11" s="589" t="s">
        <v>984</v>
      </c>
      <c r="O11" s="589" t="s">
        <v>903</v>
      </c>
      <c r="P11" s="589" t="s">
        <v>982</v>
      </c>
      <c r="Q11" s="589" t="s">
        <v>254</v>
      </c>
      <c r="R11" s="589" t="s">
        <v>254</v>
      </c>
      <c r="S11" s="589" t="s">
        <v>985</v>
      </c>
      <c r="T11" s="589" t="s">
        <v>985</v>
      </c>
      <c r="U11" s="589" t="s">
        <v>985</v>
      </c>
      <c r="V11" s="589" t="s">
        <v>985</v>
      </c>
      <c r="W11" s="589"/>
      <c r="X11" s="589" t="s">
        <v>226</v>
      </c>
      <c r="Y11" s="589" t="s">
        <v>254</v>
      </c>
      <c r="Z11" s="589" t="s">
        <v>254</v>
      </c>
      <c r="AA11" s="589" t="s">
        <v>986</v>
      </c>
      <c r="AJ11" s="585" t="s">
        <v>964</v>
      </c>
      <c r="AK11" s="585">
        <f>YEAR(AL11)</f>
        <v>1900</v>
      </c>
      <c r="AL11" s="590">
        <f>$H$5</f>
        <v>0</v>
      </c>
      <c r="AM11" s="591" t="e">
        <f>('Unit Mix'!$S$14+'Unit Mix'!$S$27)/('Unit Mix'!D14+'Unit Mix'!D27)/12</f>
        <v>#DIV/0!</v>
      </c>
      <c r="AN11" s="591"/>
      <c r="AO11" s="591">
        <f>'Income &amp; OpEx'!$O$36/12</f>
        <v>0</v>
      </c>
      <c r="AP11" s="591">
        <f>'Income &amp; OpEx'!$O$115/12</f>
        <v>2841.25</v>
      </c>
      <c r="AQ11" s="591">
        <f>'Input Page'!$F$104/12</f>
        <v>0</v>
      </c>
      <c r="AR11" s="592"/>
    </row>
    <row r="12" spans="5:45" s="585" customFormat="1" ht="15.75">
      <c r="F12" s="593" t="s">
        <v>694</v>
      </c>
      <c r="G12" s="593" t="s">
        <v>650</v>
      </c>
      <c r="H12" s="593" t="s">
        <v>650</v>
      </c>
      <c r="I12" s="593" t="s">
        <v>650</v>
      </c>
      <c r="J12" s="593" t="s">
        <v>650</v>
      </c>
      <c r="K12" s="593" t="s">
        <v>650</v>
      </c>
      <c r="L12" s="593" t="s">
        <v>650</v>
      </c>
      <c r="M12" s="593" t="s">
        <v>987</v>
      </c>
      <c r="N12" s="593" t="s">
        <v>650</v>
      </c>
      <c r="O12" s="593" t="s">
        <v>988</v>
      </c>
      <c r="P12" s="593" t="s">
        <v>989</v>
      </c>
      <c r="Q12" s="593" t="s">
        <v>990</v>
      </c>
      <c r="R12" s="593" t="s">
        <v>991</v>
      </c>
      <c r="S12" s="593" t="s">
        <v>992</v>
      </c>
      <c r="T12" s="593" t="s">
        <v>992</v>
      </c>
      <c r="U12" s="593" t="s">
        <v>992</v>
      </c>
      <c r="V12" s="593" t="s">
        <v>978</v>
      </c>
      <c r="W12" s="593"/>
      <c r="X12" s="593" t="s">
        <v>979</v>
      </c>
      <c r="Y12" s="593" t="s">
        <v>993</v>
      </c>
      <c r="Z12" s="593" t="s">
        <v>994</v>
      </c>
      <c r="AA12" s="593" t="s">
        <v>897</v>
      </c>
      <c r="AK12" s="585">
        <f>YEAR(AL12)</f>
        <v>1901</v>
      </c>
      <c r="AL12" s="590">
        <f>AL11+370</f>
        <v>370</v>
      </c>
      <c r="AM12" s="591" t="e">
        <f>AM11*'Perm - 15 Year CF'!$J$154</f>
        <v>#DIV/0!</v>
      </c>
      <c r="AN12" s="591"/>
      <c r="AO12" s="591">
        <f>AO11*'Perm - 15 Year CF'!$J$154</f>
        <v>0</v>
      </c>
      <c r="AP12" s="591">
        <f>AP11*'Perm - 15 Year CF'!$M$154</f>
        <v>2926.4875000000002</v>
      </c>
      <c r="AQ12" s="591">
        <f>AQ11*'Perm - 15 Year CF'!$S$154</f>
        <v>0</v>
      </c>
      <c r="AR12" s="592"/>
    </row>
    <row r="13" spans="5:45" s="585" customFormat="1" ht="15.75">
      <c r="F13" s="594" t="s">
        <v>995</v>
      </c>
      <c r="G13" s="594" t="s">
        <v>996</v>
      </c>
      <c r="H13" s="594" t="s">
        <v>996</v>
      </c>
      <c r="I13" s="594" t="s">
        <v>996</v>
      </c>
      <c r="J13" s="594" t="s">
        <v>997</v>
      </c>
      <c r="K13" s="594" t="s">
        <v>997</v>
      </c>
      <c r="L13" s="594" t="s">
        <v>997</v>
      </c>
      <c r="M13" s="594" t="s">
        <v>997</v>
      </c>
      <c r="N13" s="594" t="s">
        <v>997</v>
      </c>
      <c r="O13" s="594" t="s">
        <v>997</v>
      </c>
      <c r="P13" s="594" t="s">
        <v>998</v>
      </c>
      <c r="Q13" s="595" t="e">
        <f>IF(YEAR(E15)=$AK$11,$AM$11,IF(YEAR(E15)=$AK$12,$AM$12,IF(YEAR(E15)=$AK$13,$AM$13,IF(YEAR(E15)=$AK$14,$AM$14,IF(YEAR(E15)=$AK$15,$AM$15,"ERROR")))))</f>
        <v>#DIV/0!</v>
      </c>
      <c r="R13" s="595"/>
      <c r="S13" s="595" t="s">
        <v>999</v>
      </c>
      <c r="T13" s="595" t="s">
        <v>999</v>
      </c>
      <c r="U13" s="595"/>
      <c r="V13" s="595">
        <f>IF(YEAR(E15)=$AK$11,$AO$11,IF(YEAR(E15)=$AK$12,$AO$12,IF(YEAR(E15)=$AK$13,$AO$13,IF(YEAR(E15)=$AK$14,$AO$14,IF(YEAR(E15)=$AK$15,$AO$15,"ERROR")))))</f>
        <v>0</v>
      </c>
      <c r="W13" s="595"/>
      <c r="X13" s="595">
        <f>IF(YEAR(E15)=$AK$11,$AP$11,IF(YEAR(E15)=$AK$12,$AP$12,IF(YEAR(E15)=$AK$13,$AP$13,IF(YEAR(E15)=$AK$14,$AP$14,IF(YEAR(E15)=$AK$15,$AP$15,"ERROR")))))</f>
        <v>2841.25</v>
      </c>
      <c r="Y13" s="595">
        <f>IF(YEAR(E15)=$AK$11,$AQ$11,IF(YEAR(E15)=$AK$12,$AQ$12,IF(YEAR(E15)=$AK$13,$AQ$13,IF(YEAR(E15)=$AK$14,$AQ$14,IF(YEAR(E15)=$AK$15,$AQ$15,"ERROR")))))</f>
        <v>0</v>
      </c>
      <c r="Z13" s="595"/>
      <c r="AA13" s="595" t="e">
        <f>'Tax Credit Calculations'!$G$13/'Input Page'!$E$170/12</f>
        <v>#DIV/0!</v>
      </c>
      <c r="AK13" s="585">
        <f t="shared" ref="AK13:AK15" si="0">YEAR(AL13)</f>
        <v>1902</v>
      </c>
      <c r="AL13" s="590">
        <f>AL12+365.25</f>
        <v>735.25</v>
      </c>
      <c r="AM13" s="591" t="e">
        <f>AM12*'Perm - 15 Year CF'!$J$154</f>
        <v>#DIV/0!</v>
      </c>
      <c r="AN13" s="591"/>
      <c r="AO13" s="591">
        <f>AO12*'Perm - 15 Year CF'!$J$154</f>
        <v>0</v>
      </c>
      <c r="AP13" s="591">
        <f>AP12*'Perm - 15 Year CF'!$M$154</f>
        <v>3014.2821250000002</v>
      </c>
      <c r="AQ13" s="591">
        <f>AQ12*'Perm - 15 Year CF'!$S$154</f>
        <v>0</v>
      </c>
      <c r="AR13" s="592"/>
    </row>
    <row r="14" spans="5:45" s="585" customFormat="1" ht="15.75">
      <c r="Q14" s="592"/>
      <c r="R14" s="592"/>
      <c r="S14" s="592"/>
      <c r="T14" s="592"/>
      <c r="U14" s="592"/>
      <c r="V14" s="592"/>
      <c r="W14" s="592" t="s">
        <v>999</v>
      </c>
      <c r="X14" s="592"/>
      <c r="Y14" s="592"/>
      <c r="Z14" s="592"/>
      <c r="AA14" s="592"/>
      <c r="AK14" s="585">
        <f t="shared" si="0"/>
        <v>1903</v>
      </c>
      <c r="AL14" s="590">
        <f>AL13+365.25</f>
        <v>1100.5</v>
      </c>
      <c r="AM14" s="591" t="e">
        <f>AM13*'Perm - 15 Year CF'!$J$154</f>
        <v>#DIV/0!</v>
      </c>
      <c r="AN14" s="591"/>
      <c r="AO14" s="591">
        <f>AO13*'Perm - 15 Year CF'!$J$154</f>
        <v>0</v>
      </c>
      <c r="AP14" s="591">
        <f>AP13*'Perm - 15 Year CF'!$M$154</f>
        <v>3104.7105887500002</v>
      </c>
      <c r="AQ14" s="591">
        <f>AQ13*'Perm - 15 Year CF'!$S$154</f>
        <v>0</v>
      </c>
      <c r="AR14" s="592"/>
    </row>
    <row r="15" spans="5:45" s="585" customFormat="1" ht="15.75">
      <c r="E15" s="596">
        <f>DATE(YEAR(M6),1,1)</f>
        <v>1</v>
      </c>
      <c r="F15" s="597"/>
      <c r="G15" s="483"/>
      <c r="H15" s="587">
        <f>G15</f>
        <v>0</v>
      </c>
      <c r="I15" s="598" t="e">
        <f>H15/($AA$6)</f>
        <v>#DIV/0!</v>
      </c>
      <c r="J15" s="587">
        <f>L15+N15</f>
        <v>0</v>
      </c>
      <c r="K15" s="587">
        <f>J15+K14</f>
        <v>0</v>
      </c>
      <c r="L15" s="483"/>
      <c r="M15" s="587">
        <f>M14+L15</f>
        <v>0</v>
      </c>
      <c r="N15" s="483"/>
      <c r="O15" s="587">
        <f>O14+N15</f>
        <v>0</v>
      </c>
      <c r="P15" s="598" t="e">
        <f>O15/$AA$6</f>
        <v>#DIV/0!</v>
      </c>
      <c r="Q15" s="591" t="e">
        <f>ROUND(O15*$Q$13,0)</f>
        <v>#DIV/0!</v>
      </c>
      <c r="R15" s="591"/>
      <c r="S15" s="591"/>
      <c r="T15" s="591"/>
      <c r="U15" s="591"/>
      <c r="V15" s="591" t="e">
        <f t="shared" ref="V15:V26" si="1">(K15/$P$6)*$V$13</f>
        <v>#DIV/0!</v>
      </c>
      <c r="W15" s="591"/>
      <c r="X15" s="591" t="e">
        <f>IF(P15&gt;0,$X$13,0)</f>
        <v>#DIV/0!</v>
      </c>
      <c r="Y15" s="591">
        <f>IF($K15=0,,($Y$13*$K15))</f>
        <v>0</v>
      </c>
      <c r="Z15" s="591"/>
      <c r="AA15" s="591" t="e">
        <f>O15*$AA$13</f>
        <v>#DIV/0!</v>
      </c>
      <c r="AB15" s="587">
        <f>H15</f>
        <v>0</v>
      </c>
      <c r="AC15" s="599">
        <f>E15</f>
        <v>1</v>
      </c>
      <c r="AD15" s="587">
        <f>MONTH(AC15)</f>
        <v>1</v>
      </c>
      <c r="AE15" s="599" t="e">
        <f>IF($AB$29=AD15,AC15,"")</f>
        <v>#DIV/0!</v>
      </c>
      <c r="AF15" s="587" t="e">
        <f>IF(P15&gt;=0.9,1,0)</f>
        <v>#DIV/0!</v>
      </c>
      <c r="AG15" s="600">
        <f>E15</f>
        <v>1</v>
      </c>
      <c r="AK15" s="585">
        <f t="shared" si="0"/>
        <v>1904</v>
      </c>
      <c r="AL15" s="590">
        <f>AL14+365.25</f>
        <v>1465.75</v>
      </c>
      <c r="AM15" s="591" t="e">
        <f>AM14*'Perm - 15 Year CF'!$J$154</f>
        <v>#DIV/0!</v>
      </c>
      <c r="AN15" s="591"/>
      <c r="AO15" s="591">
        <f>AO14*'Perm - 15 Year CF'!$J$154</f>
        <v>0</v>
      </c>
      <c r="AP15" s="591">
        <f>AP14*'Perm - 15 Year CF'!$M$154</f>
        <v>3197.8519064125003</v>
      </c>
      <c r="AQ15" s="591">
        <f>AQ14*'Perm - 15 Year CF'!$S$154</f>
        <v>0</v>
      </c>
      <c r="AR15" s="592"/>
    </row>
    <row r="16" spans="5:45" s="585" customFormat="1" ht="15.75">
      <c r="E16" s="596">
        <f>EDATE(E15,1)</f>
        <v>32</v>
      </c>
      <c r="F16" s="597"/>
      <c r="G16" s="483"/>
      <c r="H16" s="587">
        <f>H15+G16</f>
        <v>0</v>
      </c>
      <c r="I16" s="598" t="e">
        <f t="shared" ref="I16:I26" si="2">H16/($AA$6)</f>
        <v>#DIV/0!</v>
      </c>
      <c r="J16" s="587">
        <f t="shared" ref="J16:J26" si="3">L16+N16</f>
        <v>0</v>
      </c>
      <c r="K16" s="587">
        <f t="shared" ref="K16:K26" si="4">J16+K15</f>
        <v>0</v>
      </c>
      <c r="L16" s="483"/>
      <c r="M16" s="587">
        <f t="shared" ref="M16:M26" si="5">M15+L16</f>
        <v>0</v>
      </c>
      <c r="N16" s="483"/>
      <c r="O16" s="587">
        <f t="shared" ref="O16:O26" si="6">O15+N16</f>
        <v>0</v>
      </c>
      <c r="P16" s="598" t="e">
        <f t="shared" ref="P16:P26" si="7">O16/$AA$6</f>
        <v>#DIV/0!</v>
      </c>
      <c r="Q16" s="591" t="e">
        <f t="shared" ref="Q16:Q26" si="8">ROUND(O16*$Q$13,0)</f>
        <v>#DIV/0!</v>
      </c>
      <c r="R16" s="591"/>
      <c r="S16" s="591"/>
      <c r="T16" s="591"/>
      <c r="U16" s="591"/>
      <c r="V16" s="591" t="e">
        <f t="shared" si="1"/>
        <v>#DIV/0!</v>
      </c>
      <c r="W16" s="591"/>
      <c r="X16" s="591" t="e">
        <f t="shared" ref="X16:X26" si="9">IF(P16&gt;0,$X$13,0)</f>
        <v>#DIV/0!</v>
      </c>
      <c r="Y16" s="591">
        <f t="shared" ref="Y16:Y26" si="10">IF($K16=0,,($Y$13*$K16))</f>
        <v>0</v>
      </c>
      <c r="Z16" s="591"/>
      <c r="AA16" s="591" t="e">
        <f t="shared" ref="AA16:AA26" si="11">O16*$AA$13</f>
        <v>#DIV/0!</v>
      </c>
      <c r="AB16" s="587">
        <f t="shared" ref="AB16:AB26" si="12">H16</f>
        <v>0</v>
      </c>
      <c r="AC16" s="599">
        <f t="shared" ref="AC16:AC26" si="13">E16</f>
        <v>32</v>
      </c>
      <c r="AD16" s="587">
        <f t="shared" ref="AD16:AD26" si="14">MONTH(AC16)</f>
        <v>2</v>
      </c>
      <c r="AE16" s="599" t="e">
        <f t="shared" ref="AE16:AE26" si="15">IF($AB$29=AD16,AC16,"")</f>
        <v>#DIV/0!</v>
      </c>
      <c r="AF16" s="587" t="e">
        <f>IF(AF15&gt;=1,AF15+1,IF(P16&gt;=0.9,1,0))</f>
        <v>#DIV/0!</v>
      </c>
      <c r="AG16" s="600">
        <f t="shared" ref="AG16:AG26" si="16">E16</f>
        <v>32</v>
      </c>
    </row>
    <row r="17" spans="5:43" s="585" customFormat="1" ht="15.75">
      <c r="E17" s="596">
        <f t="shared" ref="E17:E26" si="17">EDATE(E16,1)</f>
        <v>61</v>
      </c>
      <c r="F17" s="597"/>
      <c r="G17" s="483"/>
      <c r="H17" s="587">
        <f t="shared" ref="H17:H26" si="18">H16+G17</f>
        <v>0</v>
      </c>
      <c r="I17" s="598" t="e">
        <f t="shared" si="2"/>
        <v>#DIV/0!</v>
      </c>
      <c r="J17" s="587">
        <f t="shared" si="3"/>
        <v>0</v>
      </c>
      <c r="K17" s="587">
        <f t="shared" si="4"/>
        <v>0</v>
      </c>
      <c r="L17" s="483"/>
      <c r="M17" s="587">
        <f t="shared" si="5"/>
        <v>0</v>
      </c>
      <c r="N17" s="483"/>
      <c r="O17" s="587">
        <f t="shared" si="6"/>
        <v>0</v>
      </c>
      <c r="P17" s="598" t="e">
        <f t="shared" si="7"/>
        <v>#DIV/0!</v>
      </c>
      <c r="Q17" s="591" t="e">
        <f t="shared" si="8"/>
        <v>#DIV/0!</v>
      </c>
      <c r="R17" s="591"/>
      <c r="S17" s="591"/>
      <c r="T17" s="591"/>
      <c r="U17" s="591"/>
      <c r="V17" s="591" t="e">
        <f t="shared" si="1"/>
        <v>#DIV/0!</v>
      </c>
      <c r="W17" s="591"/>
      <c r="X17" s="591" t="e">
        <f t="shared" si="9"/>
        <v>#DIV/0!</v>
      </c>
      <c r="Y17" s="591">
        <f t="shared" si="10"/>
        <v>0</v>
      </c>
      <c r="Z17" s="591"/>
      <c r="AA17" s="591" t="e">
        <f t="shared" si="11"/>
        <v>#DIV/0!</v>
      </c>
      <c r="AB17" s="587">
        <f t="shared" si="12"/>
        <v>0</v>
      </c>
      <c r="AC17" s="599">
        <f t="shared" si="13"/>
        <v>61</v>
      </c>
      <c r="AD17" s="587">
        <f t="shared" si="14"/>
        <v>3</v>
      </c>
      <c r="AE17" s="599" t="e">
        <f t="shared" si="15"/>
        <v>#DIV/0!</v>
      </c>
      <c r="AF17" s="587" t="e">
        <f t="shared" ref="AF17:AF26" si="19">IF(AF16&gt;=1,AF16+1,IF(P17&gt;=0.9,1,0))</f>
        <v>#DIV/0!</v>
      </c>
      <c r="AG17" s="600">
        <f t="shared" si="16"/>
        <v>61</v>
      </c>
    </row>
    <row r="18" spans="5:43" s="585" customFormat="1" ht="15.75">
      <c r="E18" s="596">
        <f t="shared" si="17"/>
        <v>92</v>
      </c>
      <c r="F18" s="601"/>
      <c r="G18" s="483"/>
      <c r="H18" s="587">
        <f t="shared" si="18"/>
        <v>0</v>
      </c>
      <c r="I18" s="598" t="e">
        <f t="shared" si="2"/>
        <v>#DIV/0!</v>
      </c>
      <c r="J18" s="587">
        <f t="shared" si="3"/>
        <v>0</v>
      </c>
      <c r="K18" s="587">
        <f t="shared" si="4"/>
        <v>0</v>
      </c>
      <c r="L18" s="483"/>
      <c r="M18" s="587">
        <f t="shared" si="5"/>
        <v>0</v>
      </c>
      <c r="N18" s="483"/>
      <c r="O18" s="587">
        <f t="shared" si="6"/>
        <v>0</v>
      </c>
      <c r="P18" s="598" t="e">
        <f t="shared" si="7"/>
        <v>#DIV/0!</v>
      </c>
      <c r="Q18" s="591" t="e">
        <f t="shared" si="8"/>
        <v>#DIV/0!</v>
      </c>
      <c r="R18" s="591"/>
      <c r="S18" s="591"/>
      <c r="T18" s="591"/>
      <c r="U18" s="591"/>
      <c r="V18" s="591" t="e">
        <f t="shared" si="1"/>
        <v>#DIV/0!</v>
      </c>
      <c r="W18" s="591"/>
      <c r="X18" s="591" t="e">
        <f t="shared" si="9"/>
        <v>#DIV/0!</v>
      </c>
      <c r="Y18" s="591">
        <f t="shared" si="10"/>
        <v>0</v>
      </c>
      <c r="Z18" s="591"/>
      <c r="AA18" s="591" t="e">
        <f t="shared" si="11"/>
        <v>#DIV/0!</v>
      </c>
      <c r="AB18" s="587">
        <f t="shared" si="12"/>
        <v>0</v>
      </c>
      <c r="AC18" s="599">
        <f t="shared" si="13"/>
        <v>92</v>
      </c>
      <c r="AD18" s="587">
        <f t="shared" si="14"/>
        <v>4</v>
      </c>
      <c r="AE18" s="599" t="e">
        <f t="shared" si="15"/>
        <v>#DIV/0!</v>
      </c>
      <c r="AF18" s="587" t="e">
        <f t="shared" si="19"/>
        <v>#DIV/0!</v>
      </c>
      <c r="AG18" s="600">
        <f t="shared" si="16"/>
        <v>92</v>
      </c>
      <c r="AK18" s="602">
        <f>AK11</f>
        <v>1900</v>
      </c>
      <c r="AQ18" s="591">
        <f>IF(AK18&gt;YEAR($E$78),(AQ17*'Perm - 15 Year CF'!$S$154),IF(AK18=YEAR($E$15),$Y$28,IF(AK18=YEAR($E$36),$Y$49,IF(AK18=YEAR($E$57),$Y$70,IF(AK18=YEAR($E$78),$Y$91,0)))))</f>
        <v>0</v>
      </c>
    </row>
    <row r="19" spans="5:43" s="585" customFormat="1" ht="15.75">
      <c r="E19" s="596">
        <f t="shared" si="17"/>
        <v>122</v>
      </c>
      <c r="F19" s="601"/>
      <c r="G19" s="483"/>
      <c r="H19" s="587">
        <f t="shared" si="18"/>
        <v>0</v>
      </c>
      <c r="I19" s="598" t="e">
        <f t="shared" si="2"/>
        <v>#DIV/0!</v>
      </c>
      <c r="J19" s="587">
        <f t="shared" si="3"/>
        <v>0</v>
      </c>
      <c r="K19" s="587">
        <f t="shared" si="4"/>
        <v>0</v>
      </c>
      <c r="L19" s="483"/>
      <c r="M19" s="587">
        <f t="shared" si="5"/>
        <v>0</v>
      </c>
      <c r="N19" s="483"/>
      <c r="O19" s="587">
        <f t="shared" si="6"/>
        <v>0</v>
      </c>
      <c r="P19" s="598" t="e">
        <f t="shared" si="7"/>
        <v>#DIV/0!</v>
      </c>
      <c r="Q19" s="591" t="e">
        <f t="shared" si="8"/>
        <v>#DIV/0!</v>
      </c>
      <c r="R19" s="591"/>
      <c r="S19" s="591"/>
      <c r="T19" s="591"/>
      <c r="U19" s="591"/>
      <c r="V19" s="591" t="e">
        <f t="shared" si="1"/>
        <v>#DIV/0!</v>
      </c>
      <c r="W19" s="591"/>
      <c r="X19" s="591" t="e">
        <f t="shared" si="9"/>
        <v>#DIV/0!</v>
      </c>
      <c r="Y19" s="591">
        <f t="shared" si="10"/>
        <v>0</v>
      </c>
      <c r="Z19" s="591"/>
      <c r="AA19" s="591" t="e">
        <f t="shared" si="11"/>
        <v>#DIV/0!</v>
      </c>
      <c r="AB19" s="587">
        <f t="shared" si="12"/>
        <v>0</v>
      </c>
      <c r="AC19" s="599">
        <f t="shared" si="13"/>
        <v>122</v>
      </c>
      <c r="AD19" s="587">
        <f t="shared" si="14"/>
        <v>5</v>
      </c>
      <c r="AE19" s="599" t="e">
        <f t="shared" si="15"/>
        <v>#DIV/0!</v>
      </c>
      <c r="AF19" s="587" t="e">
        <f t="shared" si="19"/>
        <v>#DIV/0!</v>
      </c>
      <c r="AG19" s="600">
        <f t="shared" si="16"/>
        <v>122</v>
      </c>
      <c r="AK19" s="602">
        <f t="shared" ref="AK19:AK22" si="20">AK12</f>
        <v>1901</v>
      </c>
      <c r="AQ19" s="591">
        <f>IF(AK19&gt;YEAR($E$78),(AQ18*'Perm - 15 Year CF'!$S$154),IF(AK19=YEAR($E$15),$Y$28,IF(AK19=YEAR($E$36),$Y$49,IF(AK19=YEAR($E$57),$Y$70,IF(AK19=YEAR($E$78),$Y$91,0)))))</f>
        <v>0</v>
      </c>
    </row>
    <row r="20" spans="5:43" s="585" customFormat="1" ht="15.75">
      <c r="E20" s="596">
        <f t="shared" si="17"/>
        <v>153</v>
      </c>
      <c r="F20" s="601"/>
      <c r="G20" s="483"/>
      <c r="H20" s="587">
        <f t="shared" si="18"/>
        <v>0</v>
      </c>
      <c r="I20" s="598" t="e">
        <f t="shared" si="2"/>
        <v>#DIV/0!</v>
      </c>
      <c r="J20" s="587">
        <f t="shared" si="3"/>
        <v>0</v>
      </c>
      <c r="K20" s="587">
        <f t="shared" si="4"/>
        <v>0</v>
      </c>
      <c r="L20" s="483"/>
      <c r="M20" s="587">
        <f t="shared" si="5"/>
        <v>0</v>
      </c>
      <c r="N20" s="483"/>
      <c r="O20" s="587">
        <f t="shared" si="6"/>
        <v>0</v>
      </c>
      <c r="P20" s="598" t="e">
        <f t="shared" si="7"/>
        <v>#DIV/0!</v>
      </c>
      <c r="Q20" s="591" t="e">
        <f t="shared" si="8"/>
        <v>#DIV/0!</v>
      </c>
      <c r="R20" s="591"/>
      <c r="S20" s="591"/>
      <c r="T20" s="591"/>
      <c r="U20" s="591"/>
      <c r="V20" s="591" t="e">
        <f t="shared" si="1"/>
        <v>#DIV/0!</v>
      </c>
      <c r="W20" s="591"/>
      <c r="X20" s="591" t="e">
        <f t="shared" si="9"/>
        <v>#DIV/0!</v>
      </c>
      <c r="Y20" s="591">
        <f t="shared" si="10"/>
        <v>0</v>
      </c>
      <c r="Z20" s="591"/>
      <c r="AA20" s="591" t="e">
        <f t="shared" si="11"/>
        <v>#DIV/0!</v>
      </c>
      <c r="AB20" s="587">
        <f t="shared" si="12"/>
        <v>0</v>
      </c>
      <c r="AC20" s="599">
        <f t="shared" si="13"/>
        <v>153</v>
      </c>
      <c r="AD20" s="587">
        <f t="shared" si="14"/>
        <v>6</v>
      </c>
      <c r="AE20" s="599" t="e">
        <f t="shared" si="15"/>
        <v>#DIV/0!</v>
      </c>
      <c r="AF20" s="587" t="e">
        <f t="shared" si="19"/>
        <v>#DIV/0!</v>
      </c>
      <c r="AG20" s="600">
        <f t="shared" si="16"/>
        <v>153</v>
      </c>
      <c r="AK20" s="602">
        <f t="shared" si="20"/>
        <v>1902</v>
      </c>
      <c r="AQ20" s="591">
        <f>IF(AK20&gt;YEAR($E$78),(AQ19*'Perm - 15 Year CF'!$S$154),IF(AK20=YEAR($E$15),$Y$28,IF(AK20=YEAR($E$36),$Y$49,IF(AK20=YEAR($E$57),$Y$70,IF(AK20=YEAR($E$78),$Y$91,0)))))</f>
        <v>0</v>
      </c>
    </row>
    <row r="21" spans="5:43" s="585" customFormat="1" ht="15.75">
      <c r="E21" s="596">
        <f t="shared" si="17"/>
        <v>183</v>
      </c>
      <c r="F21" s="597"/>
      <c r="G21" s="483"/>
      <c r="H21" s="587">
        <f t="shared" si="18"/>
        <v>0</v>
      </c>
      <c r="I21" s="598" t="e">
        <f t="shared" si="2"/>
        <v>#DIV/0!</v>
      </c>
      <c r="J21" s="587">
        <f t="shared" si="3"/>
        <v>0</v>
      </c>
      <c r="K21" s="587">
        <f t="shared" si="4"/>
        <v>0</v>
      </c>
      <c r="L21" s="483"/>
      <c r="M21" s="587">
        <f t="shared" si="5"/>
        <v>0</v>
      </c>
      <c r="N21" s="483"/>
      <c r="O21" s="587">
        <f t="shared" si="6"/>
        <v>0</v>
      </c>
      <c r="P21" s="598" t="e">
        <f t="shared" si="7"/>
        <v>#DIV/0!</v>
      </c>
      <c r="Q21" s="591" t="e">
        <f t="shared" si="8"/>
        <v>#DIV/0!</v>
      </c>
      <c r="R21" s="591"/>
      <c r="S21" s="591"/>
      <c r="T21" s="591"/>
      <c r="U21" s="591"/>
      <c r="V21" s="591" t="e">
        <f t="shared" si="1"/>
        <v>#DIV/0!</v>
      </c>
      <c r="W21" s="591"/>
      <c r="X21" s="591" t="e">
        <f t="shared" si="9"/>
        <v>#DIV/0!</v>
      </c>
      <c r="Y21" s="591">
        <f t="shared" si="10"/>
        <v>0</v>
      </c>
      <c r="Z21" s="591"/>
      <c r="AA21" s="591" t="e">
        <f t="shared" si="11"/>
        <v>#DIV/0!</v>
      </c>
      <c r="AB21" s="587">
        <f t="shared" si="12"/>
        <v>0</v>
      </c>
      <c r="AC21" s="599">
        <f t="shared" si="13"/>
        <v>183</v>
      </c>
      <c r="AD21" s="587">
        <f t="shared" si="14"/>
        <v>7</v>
      </c>
      <c r="AE21" s="599" t="e">
        <f t="shared" si="15"/>
        <v>#DIV/0!</v>
      </c>
      <c r="AF21" s="587" t="e">
        <f t="shared" si="19"/>
        <v>#DIV/0!</v>
      </c>
      <c r="AG21" s="600">
        <f t="shared" si="16"/>
        <v>183</v>
      </c>
      <c r="AK21" s="602">
        <f t="shared" si="20"/>
        <v>1903</v>
      </c>
      <c r="AQ21" s="591">
        <f>IF(AK21&gt;YEAR($E$78),(AQ20*'Perm - 15 Year CF'!$S$154),IF(AK21=YEAR($E$15),$Y$28,IF(AK21=YEAR($E$36),$Y$49,IF(AK21=YEAR($E$57),$Y$70,IF(AK21=YEAR($E$78),$Y$91,0)))))</f>
        <v>0</v>
      </c>
    </row>
    <row r="22" spans="5:43" s="585" customFormat="1" ht="15.75">
      <c r="E22" s="596">
        <f t="shared" si="17"/>
        <v>214</v>
      </c>
      <c r="F22" s="597"/>
      <c r="G22" s="483"/>
      <c r="H22" s="587">
        <f t="shared" si="18"/>
        <v>0</v>
      </c>
      <c r="I22" s="598" t="e">
        <f t="shared" si="2"/>
        <v>#DIV/0!</v>
      </c>
      <c r="J22" s="587">
        <f t="shared" si="3"/>
        <v>0</v>
      </c>
      <c r="K22" s="587">
        <f t="shared" si="4"/>
        <v>0</v>
      </c>
      <c r="L22" s="483"/>
      <c r="M22" s="587">
        <f t="shared" si="5"/>
        <v>0</v>
      </c>
      <c r="N22" s="483"/>
      <c r="O22" s="587">
        <f t="shared" si="6"/>
        <v>0</v>
      </c>
      <c r="P22" s="598" t="e">
        <f t="shared" si="7"/>
        <v>#DIV/0!</v>
      </c>
      <c r="Q22" s="591" t="e">
        <f t="shared" si="8"/>
        <v>#DIV/0!</v>
      </c>
      <c r="R22" s="591"/>
      <c r="S22" s="591"/>
      <c r="T22" s="591"/>
      <c r="U22" s="591"/>
      <c r="V22" s="591" t="e">
        <f t="shared" si="1"/>
        <v>#DIV/0!</v>
      </c>
      <c r="W22" s="591"/>
      <c r="X22" s="591" t="e">
        <f t="shared" si="9"/>
        <v>#DIV/0!</v>
      </c>
      <c r="Y22" s="591">
        <f t="shared" si="10"/>
        <v>0</v>
      </c>
      <c r="Z22" s="591"/>
      <c r="AA22" s="591" t="e">
        <f t="shared" si="11"/>
        <v>#DIV/0!</v>
      </c>
      <c r="AB22" s="587">
        <f t="shared" si="12"/>
        <v>0</v>
      </c>
      <c r="AC22" s="599">
        <f t="shared" si="13"/>
        <v>214</v>
      </c>
      <c r="AD22" s="587">
        <f t="shared" si="14"/>
        <v>8</v>
      </c>
      <c r="AE22" s="599" t="e">
        <f t="shared" si="15"/>
        <v>#DIV/0!</v>
      </c>
      <c r="AF22" s="587" t="e">
        <f t="shared" si="19"/>
        <v>#DIV/0!</v>
      </c>
      <c r="AG22" s="600">
        <f t="shared" si="16"/>
        <v>214</v>
      </c>
      <c r="AK22" s="602">
        <f t="shared" si="20"/>
        <v>1904</v>
      </c>
      <c r="AQ22" s="591">
        <f>IF(AK22&gt;YEAR($E$78),(AQ21*'Perm - 15 Year CF'!$S$154),IF(AK22=YEAR($E$15),$Y$28,IF(AK22=YEAR($E$36),$Y$49,IF(AK22=YEAR($E$57),$Y$70,IF(AK22=YEAR($E$78),$Y$91,0)))))</f>
        <v>0</v>
      </c>
    </row>
    <row r="23" spans="5:43" s="585" customFormat="1" ht="15.75">
      <c r="E23" s="596">
        <f t="shared" si="17"/>
        <v>245</v>
      </c>
      <c r="F23" s="597"/>
      <c r="G23" s="483"/>
      <c r="H23" s="587">
        <f t="shared" si="18"/>
        <v>0</v>
      </c>
      <c r="I23" s="598" t="e">
        <f t="shared" si="2"/>
        <v>#DIV/0!</v>
      </c>
      <c r="J23" s="587">
        <f t="shared" si="3"/>
        <v>0</v>
      </c>
      <c r="K23" s="587">
        <f t="shared" si="4"/>
        <v>0</v>
      </c>
      <c r="L23" s="483"/>
      <c r="M23" s="587">
        <f t="shared" si="5"/>
        <v>0</v>
      </c>
      <c r="N23" s="483"/>
      <c r="O23" s="587">
        <f t="shared" si="6"/>
        <v>0</v>
      </c>
      <c r="P23" s="598" t="e">
        <f t="shared" si="7"/>
        <v>#DIV/0!</v>
      </c>
      <c r="Q23" s="591" t="e">
        <f t="shared" si="8"/>
        <v>#DIV/0!</v>
      </c>
      <c r="R23" s="591"/>
      <c r="S23" s="591"/>
      <c r="T23" s="591"/>
      <c r="U23" s="591"/>
      <c r="V23" s="591" t="e">
        <f t="shared" si="1"/>
        <v>#DIV/0!</v>
      </c>
      <c r="W23" s="591"/>
      <c r="X23" s="591" t="e">
        <f t="shared" si="9"/>
        <v>#DIV/0!</v>
      </c>
      <c r="Y23" s="591">
        <f t="shared" si="10"/>
        <v>0</v>
      </c>
      <c r="Z23" s="591"/>
      <c r="AA23" s="591" t="e">
        <f t="shared" si="11"/>
        <v>#DIV/0!</v>
      </c>
      <c r="AB23" s="587">
        <f t="shared" si="12"/>
        <v>0</v>
      </c>
      <c r="AC23" s="599">
        <f t="shared" si="13"/>
        <v>245</v>
      </c>
      <c r="AD23" s="587">
        <f t="shared" si="14"/>
        <v>9</v>
      </c>
      <c r="AE23" s="599" t="e">
        <f t="shared" si="15"/>
        <v>#DIV/0!</v>
      </c>
      <c r="AF23" s="587" t="e">
        <f t="shared" si="19"/>
        <v>#DIV/0!</v>
      </c>
      <c r="AG23" s="600">
        <f t="shared" si="16"/>
        <v>245</v>
      </c>
      <c r="AK23" s="602">
        <f>AK22+1</f>
        <v>1905</v>
      </c>
      <c r="AQ23" s="591">
        <f>IF(AK23&gt;YEAR($E$78),(AQ22*'Perm - 15 Year CF'!$S$154),IF(AK23=YEAR($E$15),$Y$28,IF(AK23=YEAR($E$36),$Y$49,IF(AK23=YEAR($E$57),$Y$70,IF(AK23=YEAR($E$78),$Y$91,0)))))</f>
        <v>0</v>
      </c>
    </row>
    <row r="24" spans="5:43" s="585" customFormat="1" ht="15.75">
      <c r="E24" s="596">
        <f t="shared" si="17"/>
        <v>275</v>
      </c>
      <c r="F24" s="597"/>
      <c r="G24" s="483"/>
      <c r="H24" s="587">
        <f t="shared" si="18"/>
        <v>0</v>
      </c>
      <c r="I24" s="598" t="e">
        <f t="shared" si="2"/>
        <v>#DIV/0!</v>
      </c>
      <c r="J24" s="587">
        <f t="shared" si="3"/>
        <v>0</v>
      </c>
      <c r="K24" s="587">
        <f t="shared" si="4"/>
        <v>0</v>
      </c>
      <c r="L24" s="483"/>
      <c r="M24" s="587">
        <f t="shared" si="5"/>
        <v>0</v>
      </c>
      <c r="N24" s="483"/>
      <c r="O24" s="587">
        <f t="shared" si="6"/>
        <v>0</v>
      </c>
      <c r="P24" s="598" t="e">
        <f t="shared" si="7"/>
        <v>#DIV/0!</v>
      </c>
      <c r="Q24" s="591" t="e">
        <f t="shared" si="8"/>
        <v>#DIV/0!</v>
      </c>
      <c r="R24" s="591"/>
      <c r="S24" s="591"/>
      <c r="T24" s="591"/>
      <c r="U24" s="591"/>
      <c r="V24" s="591" t="e">
        <f t="shared" si="1"/>
        <v>#DIV/0!</v>
      </c>
      <c r="W24" s="591"/>
      <c r="X24" s="591" t="e">
        <f t="shared" si="9"/>
        <v>#DIV/0!</v>
      </c>
      <c r="Y24" s="591">
        <f t="shared" si="10"/>
        <v>0</v>
      </c>
      <c r="Z24" s="591"/>
      <c r="AA24" s="591" t="e">
        <f t="shared" si="11"/>
        <v>#DIV/0!</v>
      </c>
      <c r="AB24" s="587">
        <f t="shared" si="12"/>
        <v>0</v>
      </c>
      <c r="AC24" s="599">
        <f t="shared" si="13"/>
        <v>275</v>
      </c>
      <c r="AD24" s="587">
        <f t="shared" si="14"/>
        <v>10</v>
      </c>
      <c r="AE24" s="599" t="e">
        <f t="shared" si="15"/>
        <v>#DIV/0!</v>
      </c>
      <c r="AF24" s="587" t="e">
        <f t="shared" si="19"/>
        <v>#DIV/0!</v>
      </c>
      <c r="AG24" s="600">
        <f t="shared" si="16"/>
        <v>275</v>
      </c>
      <c r="AK24" s="602">
        <f t="shared" ref="AK24:AK35" si="21">AK23+1</f>
        <v>1906</v>
      </c>
      <c r="AQ24" s="591">
        <f>IF(AK24&gt;YEAR($E$78),(AQ23*'Perm - 15 Year CF'!$S$154),IF(AK24=YEAR($E$15),$Y$28,IF(AK24=YEAR($E$36),$Y$49,IF(AK24=YEAR($E$57),$Y$70,IF(AK24=YEAR($E$78),$Y$91,0)))))</f>
        <v>0</v>
      </c>
    </row>
    <row r="25" spans="5:43" s="585" customFormat="1" ht="15.75">
      <c r="E25" s="596">
        <f t="shared" si="17"/>
        <v>306</v>
      </c>
      <c r="F25" s="597"/>
      <c r="G25" s="483"/>
      <c r="H25" s="587">
        <f t="shared" si="18"/>
        <v>0</v>
      </c>
      <c r="I25" s="598" t="e">
        <f t="shared" si="2"/>
        <v>#DIV/0!</v>
      </c>
      <c r="J25" s="587">
        <f t="shared" si="3"/>
        <v>0</v>
      </c>
      <c r="K25" s="587">
        <f t="shared" si="4"/>
        <v>0</v>
      </c>
      <c r="L25" s="483"/>
      <c r="M25" s="587">
        <f t="shared" si="5"/>
        <v>0</v>
      </c>
      <c r="N25" s="483"/>
      <c r="O25" s="587">
        <f t="shared" si="6"/>
        <v>0</v>
      </c>
      <c r="P25" s="598" t="e">
        <f t="shared" si="7"/>
        <v>#DIV/0!</v>
      </c>
      <c r="Q25" s="591" t="e">
        <f t="shared" si="8"/>
        <v>#DIV/0!</v>
      </c>
      <c r="R25" s="591"/>
      <c r="S25" s="591"/>
      <c r="T25" s="591"/>
      <c r="U25" s="591"/>
      <c r="V25" s="591" t="e">
        <f t="shared" si="1"/>
        <v>#DIV/0!</v>
      </c>
      <c r="W25" s="591"/>
      <c r="X25" s="591" t="e">
        <f t="shared" si="9"/>
        <v>#DIV/0!</v>
      </c>
      <c r="Y25" s="591">
        <f t="shared" si="10"/>
        <v>0</v>
      </c>
      <c r="Z25" s="591"/>
      <c r="AA25" s="591" t="e">
        <f t="shared" si="11"/>
        <v>#DIV/0!</v>
      </c>
      <c r="AB25" s="587">
        <f t="shared" si="12"/>
        <v>0</v>
      </c>
      <c r="AC25" s="599">
        <f t="shared" si="13"/>
        <v>306</v>
      </c>
      <c r="AD25" s="587">
        <f t="shared" si="14"/>
        <v>11</v>
      </c>
      <c r="AE25" s="599" t="e">
        <f t="shared" si="15"/>
        <v>#DIV/0!</v>
      </c>
      <c r="AF25" s="587" t="e">
        <f t="shared" si="19"/>
        <v>#DIV/0!</v>
      </c>
      <c r="AG25" s="600">
        <f t="shared" si="16"/>
        <v>306</v>
      </c>
      <c r="AK25" s="602">
        <f t="shared" si="21"/>
        <v>1907</v>
      </c>
      <c r="AQ25" s="591">
        <f>IF(AK25&gt;YEAR($E$78),(AQ24*'Perm - 15 Year CF'!$S$154),IF(AK25=YEAR($E$15),$Y$28,IF(AK25=YEAR($E$36),$Y$49,IF(AK25=YEAR($E$57),$Y$70,IF(AK25=YEAR($E$78),$Y$91,0)))))</f>
        <v>0</v>
      </c>
    </row>
    <row r="26" spans="5:43" s="585" customFormat="1" ht="15.75">
      <c r="E26" s="596">
        <f t="shared" si="17"/>
        <v>336</v>
      </c>
      <c r="F26" s="597"/>
      <c r="G26" s="483"/>
      <c r="H26" s="587">
        <f t="shared" si="18"/>
        <v>0</v>
      </c>
      <c r="I26" s="598" t="e">
        <f t="shared" si="2"/>
        <v>#DIV/0!</v>
      </c>
      <c r="J26" s="587">
        <f t="shared" si="3"/>
        <v>0</v>
      </c>
      <c r="K26" s="587">
        <f t="shared" si="4"/>
        <v>0</v>
      </c>
      <c r="L26" s="483"/>
      <c r="M26" s="587">
        <f t="shared" si="5"/>
        <v>0</v>
      </c>
      <c r="N26" s="483"/>
      <c r="O26" s="587">
        <f t="shared" si="6"/>
        <v>0</v>
      </c>
      <c r="P26" s="598" t="e">
        <f t="shared" si="7"/>
        <v>#DIV/0!</v>
      </c>
      <c r="Q26" s="591" t="e">
        <f t="shared" si="8"/>
        <v>#DIV/0!</v>
      </c>
      <c r="R26" s="591"/>
      <c r="S26" s="591"/>
      <c r="T26" s="591"/>
      <c r="U26" s="591"/>
      <c r="V26" s="591" t="e">
        <f t="shared" si="1"/>
        <v>#DIV/0!</v>
      </c>
      <c r="W26" s="591"/>
      <c r="X26" s="591" t="e">
        <f t="shared" si="9"/>
        <v>#DIV/0!</v>
      </c>
      <c r="Y26" s="591">
        <f t="shared" si="10"/>
        <v>0</v>
      </c>
      <c r="Z26" s="591"/>
      <c r="AA26" s="591" t="e">
        <f t="shared" si="11"/>
        <v>#DIV/0!</v>
      </c>
      <c r="AB26" s="587">
        <f t="shared" si="12"/>
        <v>0</v>
      </c>
      <c r="AC26" s="599">
        <f t="shared" si="13"/>
        <v>336</v>
      </c>
      <c r="AD26" s="587">
        <f t="shared" si="14"/>
        <v>12</v>
      </c>
      <c r="AE26" s="599" t="e">
        <f t="shared" si="15"/>
        <v>#DIV/0!</v>
      </c>
      <c r="AF26" s="587" t="e">
        <f t="shared" si="19"/>
        <v>#DIV/0!</v>
      </c>
      <c r="AG26" s="600">
        <f t="shared" si="16"/>
        <v>336</v>
      </c>
      <c r="AK26" s="602">
        <f t="shared" si="21"/>
        <v>1908</v>
      </c>
      <c r="AQ26" s="591">
        <f>IF(AK26&gt;YEAR($E$78),(AQ25*'Perm - 15 Year CF'!$S$154),IF(AK26=YEAR($E$15),$Y$28,IF(AK26=YEAR($E$36),$Y$49,IF(AK26=YEAR($E$57),$Y$70,IF(AK26=YEAR($E$78),$Y$91,0)))))</f>
        <v>0</v>
      </c>
    </row>
    <row r="27" spans="5:43" s="585" customFormat="1" ht="15.75">
      <c r="E27" s="596"/>
      <c r="I27" s="587"/>
      <c r="J27" s="587"/>
      <c r="K27" s="587"/>
      <c r="L27" s="587"/>
      <c r="M27" s="587"/>
      <c r="N27" s="587"/>
      <c r="O27" s="587"/>
      <c r="P27" s="587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87"/>
      <c r="AC27" s="587"/>
      <c r="AD27" s="587"/>
      <c r="AE27" s="587"/>
      <c r="AF27" s="587"/>
      <c r="AG27" s="587"/>
      <c r="AK27" s="602">
        <f t="shared" si="21"/>
        <v>1909</v>
      </c>
      <c r="AQ27" s="591">
        <f>IF(AK27&gt;YEAR($E$78),(AQ26*'Perm - 15 Year CF'!$S$154),IF(AK27=YEAR($E$15),$Y$28,IF(AK27=YEAR($E$36),$Y$49,IF(AK27=YEAR($E$57),$Y$70,IF(AK27=YEAR($E$78),$Y$91,0)))))</f>
        <v>0</v>
      </c>
    </row>
    <row r="28" spans="5:43" s="585" customFormat="1" ht="16.5" thickBot="1">
      <c r="E28" s="611" t="e">
        <f>IF(AB29=0,"",AC28)</f>
        <v>#DIV/0!</v>
      </c>
      <c r="F28" s="587"/>
      <c r="G28" s="603">
        <f>SUM(G15:G26)</f>
        <v>0</v>
      </c>
      <c r="H28" s="603"/>
      <c r="I28" s="603"/>
      <c r="J28" s="603">
        <f>SUM(J15:J26)</f>
        <v>0</v>
      </c>
      <c r="K28" s="603"/>
      <c r="L28" s="603">
        <f>SUM(L15:L26)</f>
        <v>0</v>
      </c>
      <c r="M28" s="603"/>
      <c r="N28" s="603">
        <f>SUM(N15:N26)</f>
        <v>0</v>
      </c>
      <c r="O28" s="603"/>
      <c r="P28" s="603"/>
      <c r="Q28" s="604" t="e">
        <f>SUM(Q15:Q26)</f>
        <v>#DIV/0!</v>
      </c>
      <c r="R28" s="604">
        <f>SUM(R15:R26)</f>
        <v>0</v>
      </c>
      <c r="S28" s="604">
        <f t="shared" ref="S28:AA28" si="22">SUM(S15:S26)</f>
        <v>0</v>
      </c>
      <c r="T28" s="604">
        <f t="shared" si="22"/>
        <v>0</v>
      </c>
      <c r="U28" s="604">
        <f t="shared" si="22"/>
        <v>0</v>
      </c>
      <c r="V28" s="604" t="e">
        <f t="shared" si="22"/>
        <v>#DIV/0!</v>
      </c>
      <c r="W28" s="604">
        <f t="shared" si="22"/>
        <v>0</v>
      </c>
      <c r="X28" s="604" t="e">
        <f t="shared" si="22"/>
        <v>#DIV/0!</v>
      </c>
      <c r="Y28" s="604">
        <f t="shared" si="22"/>
        <v>0</v>
      </c>
      <c r="Z28" s="604">
        <f t="shared" si="22"/>
        <v>0</v>
      </c>
      <c r="AA28" s="604" t="e">
        <f t="shared" si="22"/>
        <v>#DIV/0!</v>
      </c>
      <c r="AB28" s="587">
        <f>SUM(AB15:AB26)/12</f>
        <v>0</v>
      </c>
      <c r="AC28" s="599" t="e">
        <f>MAX(AE15:AE26)</f>
        <v>#DIV/0!</v>
      </c>
      <c r="AD28" s="587"/>
      <c r="AE28" s="587"/>
      <c r="AF28" s="587"/>
      <c r="AG28" s="587"/>
      <c r="AK28" s="602">
        <f t="shared" si="21"/>
        <v>1910</v>
      </c>
      <c r="AQ28" s="591">
        <f>IF(AK28&gt;YEAR($E$78),(AQ27*'Perm - 15 Year CF'!$S$154),IF(AK28=YEAR($E$15),$Y$28,IF(AK28=YEAR($E$36),$Y$49,IF(AK28=YEAR($E$57),$Y$70,IF(AK28=YEAR($E$78),$Y$91,0)))))</f>
        <v>0</v>
      </c>
    </row>
    <row r="29" spans="5:43" s="585" customFormat="1" ht="16.5" thickTop="1">
      <c r="E29" s="596"/>
      <c r="AB29" s="587" t="e">
        <f>ROUND(13-(AB28/H26*12),0)</f>
        <v>#DIV/0!</v>
      </c>
      <c r="AK29" s="602">
        <f t="shared" si="21"/>
        <v>1911</v>
      </c>
      <c r="AQ29" s="591">
        <f>IF(AK29&gt;YEAR($E$78),(AQ28*'Perm - 15 Year CF'!$S$154),IF(AK29=YEAR($E$15),$Y$28,IF(AK29=YEAR($E$36),$Y$49,IF(AK29=YEAR($E$57),$Y$70,IF(AK29=YEAR($E$78),$Y$91,0)))))</f>
        <v>0</v>
      </c>
    </row>
    <row r="30" spans="5:43" s="585" customFormat="1" ht="15.75">
      <c r="E30" s="596"/>
      <c r="H30" s="587" t="s">
        <v>998</v>
      </c>
      <c r="J30" s="605" t="e">
        <f>K26/$AA$6</f>
        <v>#DIV/0!</v>
      </c>
      <c r="N30" s="587" t="str">
        <f>IF(SUM(N15:N26)&gt;0,AVERAGE(N15:N26),"")</f>
        <v/>
      </c>
      <c r="AK30" s="602">
        <f t="shared" si="21"/>
        <v>1912</v>
      </c>
      <c r="AQ30" s="591">
        <f>IF(AK30&gt;YEAR($E$78),(AQ29*'Perm - 15 Year CF'!$S$154),IF(AK30=YEAR($E$15),$Y$28,IF(AK30=YEAR($E$36),$Y$49,IF(AK30=YEAR($E$57),$Y$70,IF(AK30=YEAR($E$78),$Y$91,0)))))</f>
        <v>0</v>
      </c>
    </row>
    <row r="31" spans="5:43" s="585" customFormat="1" ht="15.75">
      <c r="E31" s="596"/>
      <c r="J31" s="585" t="s">
        <v>999</v>
      </c>
      <c r="AK31" s="602">
        <f t="shared" si="21"/>
        <v>1913</v>
      </c>
      <c r="AQ31" s="591">
        <f>IF(AK31&gt;YEAR($E$78),(AQ30*'Perm - 15 Year CF'!$S$154),IF(AK31=YEAR($E$15),$Y$28,IF(AK31=YEAR($E$36),$Y$49,IF(AK31=YEAR($E$57),$Y$70,IF(AK31=YEAR($E$78),$Y$91,0)))))</f>
        <v>0</v>
      </c>
    </row>
    <row r="32" spans="5:43" s="585" customFormat="1" ht="15.75">
      <c r="E32" s="596"/>
      <c r="F32" s="589" t="s">
        <v>981</v>
      </c>
      <c r="G32" s="589" t="s">
        <v>999</v>
      </c>
      <c r="H32" s="589" t="s">
        <v>226</v>
      </c>
      <c r="I32" s="589" t="s">
        <v>982</v>
      </c>
      <c r="J32" s="589" t="s">
        <v>999</v>
      </c>
      <c r="K32" s="589" t="s">
        <v>903</v>
      </c>
      <c r="L32" s="589" t="s">
        <v>983</v>
      </c>
      <c r="M32" s="589" t="s">
        <v>903</v>
      </c>
      <c r="N32" s="589" t="s">
        <v>984</v>
      </c>
      <c r="O32" s="589" t="s">
        <v>903</v>
      </c>
      <c r="P32" s="589" t="s">
        <v>982</v>
      </c>
      <c r="Q32" s="589" t="s">
        <v>254</v>
      </c>
      <c r="R32" s="589" t="s">
        <v>254</v>
      </c>
      <c r="S32" s="589" t="s">
        <v>999</v>
      </c>
      <c r="T32" s="589" t="s">
        <v>999</v>
      </c>
      <c r="U32" s="589" t="s">
        <v>999</v>
      </c>
      <c r="V32" s="589" t="s">
        <v>985</v>
      </c>
      <c r="W32" s="589"/>
      <c r="X32" s="589" t="s">
        <v>226</v>
      </c>
      <c r="Y32" s="589" t="s">
        <v>254</v>
      </c>
      <c r="Z32" s="589" t="s">
        <v>254</v>
      </c>
      <c r="AA32" s="589" t="s">
        <v>986</v>
      </c>
      <c r="AK32" s="602">
        <f t="shared" si="21"/>
        <v>1914</v>
      </c>
      <c r="AQ32" s="591">
        <f>IF(AK32&gt;YEAR($E$78),(AQ31*'Perm - 15 Year CF'!$S$154),IF(AK32=YEAR($E$15),$Y$28,IF(AK32=YEAR($E$36),$Y$49,IF(AK32=YEAR($E$57),$Y$70,IF(AK32=YEAR($E$78),$Y$91,0)))))</f>
        <v>0</v>
      </c>
    </row>
    <row r="33" spans="5:43" s="585" customFormat="1" ht="15.75">
      <c r="E33" s="596"/>
      <c r="F33" s="593" t="s">
        <v>694</v>
      </c>
      <c r="G33" s="593" t="s">
        <v>650</v>
      </c>
      <c r="H33" s="593" t="s">
        <v>650</v>
      </c>
      <c r="I33" s="593" t="s">
        <v>650</v>
      </c>
      <c r="J33" s="593" t="s">
        <v>650</v>
      </c>
      <c r="K33" s="593" t="s">
        <v>650</v>
      </c>
      <c r="L33" s="593" t="s">
        <v>650</v>
      </c>
      <c r="M33" s="593" t="s">
        <v>987</v>
      </c>
      <c r="N33" s="593" t="s">
        <v>650</v>
      </c>
      <c r="O33" s="593" t="s">
        <v>988</v>
      </c>
      <c r="P33" s="593" t="s">
        <v>989</v>
      </c>
      <c r="Q33" s="593" t="s">
        <v>990</v>
      </c>
      <c r="R33" s="593" t="s">
        <v>991</v>
      </c>
      <c r="S33" s="593" t="s">
        <v>999</v>
      </c>
      <c r="T33" s="593" t="s">
        <v>999</v>
      </c>
      <c r="U33" s="593" t="s">
        <v>999</v>
      </c>
      <c r="V33" s="593" t="s">
        <v>978</v>
      </c>
      <c r="W33" s="593"/>
      <c r="X33" s="593" t="s">
        <v>979</v>
      </c>
      <c r="Y33" s="593" t="s">
        <v>993</v>
      </c>
      <c r="Z33" s="593" t="s">
        <v>927</v>
      </c>
      <c r="AA33" s="593" t="s">
        <v>897</v>
      </c>
      <c r="AK33" s="602">
        <f t="shared" si="21"/>
        <v>1915</v>
      </c>
      <c r="AQ33" s="591">
        <f>IF(AK33&gt;YEAR($E$78),(AQ32*'Perm - 15 Year CF'!$S$154),IF(AK33=YEAR($E$15),$Y$28,IF(AK33=YEAR($E$36),$Y$49,IF(AK33=YEAR($E$57),$Y$70,IF(AK33=YEAR($E$78),$Y$91,0)))))</f>
        <v>0</v>
      </c>
    </row>
    <row r="34" spans="5:43" s="585" customFormat="1" ht="15.75">
      <c r="E34" s="596"/>
      <c r="F34" s="594" t="s">
        <v>995</v>
      </c>
      <c r="G34" s="594" t="s">
        <v>996</v>
      </c>
      <c r="H34" s="594" t="s">
        <v>996</v>
      </c>
      <c r="I34" s="594" t="s">
        <v>996</v>
      </c>
      <c r="J34" s="594" t="s">
        <v>997</v>
      </c>
      <c r="K34" s="594" t="s">
        <v>997</v>
      </c>
      <c r="L34" s="594" t="s">
        <v>997</v>
      </c>
      <c r="M34" s="594" t="s">
        <v>997</v>
      </c>
      <c r="N34" s="594" t="s">
        <v>997</v>
      </c>
      <c r="O34" s="594" t="s">
        <v>997</v>
      </c>
      <c r="P34" s="594" t="s">
        <v>998</v>
      </c>
      <c r="Q34" s="595" t="e">
        <f>IF(YEAR(E36)=$AK$11,$AM$11,IF(YEAR(E36)=$AK$12,$AM$12,IF(YEAR(E36)=$AK$13,$AM$13,IF(YEAR(E36)=$AK$14,$AM$14,IF(YEAR(E36)=$AK$15,$AM$15,"ERROR")))))</f>
        <v>#DIV/0!</v>
      </c>
      <c r="R34" s="595"/>
      <c r="S34" s="595" t="s">
        <v>999</v>
      </c>
      <c r="T34" s="595" t="s">
        <v>999</v>
      </c>
      <c r="U34" s="595" t="s">
        <v>999</v>
      </c>
      <c r="V34" s="595">
        <f>IF(YEAR(E36)=$AK$11,$AO$11,IF(YEAR(E36)=$AK$12,$AO$12,IF(YEAR(E36)=$AK$13,$AO$13,IF(YEAR(E36)=$AK$14,$AO$14,IF(YEAR(E36)=$AK$15,$AO$15,"ERROR")))))</f>
        <v>0</v>
      </c>
      <c r="W34" s="595"/>
      <c r="X34" s="595">
        <f>IF(YEAR(E36)=$AK$11,$AP$11,IF(YEAR(E36)=$AK$12,$AP$12,IF(YEAR(E36)=$AK$13,$AP$13,IF(YEAR(E36)=$AK$14,$AP$14,IF(YEAR(E36)=$AK$15,$AP$15,"ERROR")))))</f>
        <v>2926.4875000000002</v>
      </c>
      <c r="Y34" s="595">
        <f>IF(YEAR(E36)=$AK$11,$AQ$11,IF(YEAR(E36)=$AK$12,$AQ$12,IF(YEAR(E36)=$AK$13,$AQ$13,IF(YEAR(E36)=$AK$14,$AQ$14,IF(YEAR(E36)=$AK$15,$AQ$15,"ERROR")))))</f>
        <v>0</v>
      </c>
      <c r="Z34" s="595"/>
      <c r="AA34" s="595" t="e">
        <f>'Tax Credit Calculations'!$G$13/'Input Page'!$E$170/12</f>
        <v>#DIV/0!</v>
      </c>
      <c r="AK34" s="602">
        <f t="shared" si="21"/>
        <v>1916</v>
      </c>
      <c r="AQ34" s="591">
        <f>IF(AK34&gt;YEAR($E$78),(AQ33*'Perm - 15 Year CF'!$S$154),IF(AK34=YEAR($E$15),$Y$28,IF(AK34=YEAR($E$36),$Y$49,IF(AK34=YEAR($E$57),$Y$70,IF(AK34=YEAR($E$78),$Y$91,0)))))</f>
        <v>0</v>
      </c>
    </row>
    <row r="35" spans="5:43" s="585" customFormat="1" ht="15.75">
      <c r="E35" s="596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K35" s="602">
        <f t="shared" si="21"/>
        <v>1917</v>
      </c>
      <c r="AQ35" s="591">
        <f>IF(AK35&gt;YEAR($E$78),(AQ34*'Perm - 15 Year CF'!$S$154),IF(AK35=YEAR($E$15),$Y$28,IF(AK35=YEAR($E$36),$Y$49,IF(AK35=YEAR($E$57),$Y$70,IF(AK35=YEAR($E$78),$Y$91,0)))))</f>
        <v>0</v>
      </c>
    </row>
    <row r="36" spans="5:43" s="585" customFormat="1" ht="15.75">
      <c r="E36" s="596">
        <f>EDATE(E26,1)</f>
        <v>367</v>
      </c>
      <c r="F36" s="601"/>
      <c r="G36" s="483"/>
      <c r="H36" s="587">
        <f>H26+G36</f>
        <v>0</v>
      </c>
      <c r="I36" s="598" t="e">
        <f>H36/$AA$6</f>
        <v>#DIV/0!</v>
      </c>
      <c r="J36" s="587">
        <f>L36+N36</f>
        <v>0</v>
      </c>
      <c r="K36" s="587">
        <f>K26+J36</f>
        <v>0</v>
      </c>
      <c r="L36" s="483"/>
      <c r="M36" s="587">
        <f>M26+L36</f>
        <v>0</v>
      </c>
      <c r="N36" s="483"/>
      <c r="O36" s="587">
        <f>O26+N36</f>
        <v>0</v>
      </c>
      <c r="P36" s="598" t="e">
        <f>O36/$AA$6</f>
        <v>#DIV/0!</v>
      </c>
      <c r="Q36" s="591" t="e">
        <f>ROUND(O36*$Q$34,0)</f>
        <v>#DIV/0!</v>
      </c>
      <c r="R36" s="591"/>
      <c r="S36" s="591"/>
      <c r="T36" s="591"/>
      <c r="U36" s="591"/>
      <c r="V36" s="591" t="e">
        <f t="shared" ref="V36:V47" si="23">(K36/$P$6)*$V$34</f>
        <v>#DIV/0!</v>
      </c>
      <c r="W36" s="591"/>
      <c r="X36" s="591" t="e">
        <f>IF(P36&gt;0,$X$34,0)</f>
        <v>#DIV/0!</v>
      </c>
      <c r="Y36" s="591">
        <f>IF($K36=0,,($Y$34*$K36))</f>
        <v>0</v>
      </c>
      <c r="Z36" s="591"/>
      <c r="AA36" s="591" t="e">
        <f>O36*$AA$34</f>
        <v>#DIV/0!</v>
      </c>
      <c r="AB36" s="587">
        <f>H36</f>
        <v>0</v>
      </c>
      <c r="AC36" s="599">
        <f>E36</f>
        <v>367</v>
      </c>
      <c r="AD36" s="587">
        <f>MONTH(AC36)</f>
        <v>1</v>
      </c>
      <c r="AE36" s="599" t="e">
        <f>IF($AB$50=AD36,AC36,"")</f>
        <v>#DIV/0!</v>
      </c>
      <c r="AF36" s="587" t="e">
        <f>IF(AF26&gt;=1,AF26+1,IF(P36&gt;=0.9,1,0))</f>
        <v>#DIV/0!</v>
      </c>
      <c r="AG36" s="600">
        <f>E36</f>
        <v>367</v>
      </c>
      <c r="AK36" s="606"/>
    </row>
    <row r="37" spans="5:43" s="585" customFormat="1" ht="15.75">
      <c r="E37" s="596">
        <f>EDATE(E36,1)</f>
        <v>398</v>
      </c>
      <c r="F37" s="601"/>
      <c r="G37" s="483"/>
      <c r="H37" s="587">
        <f>H36+G37</f>
        <v>0</v>
      </c>
      <c r="I37" s="598" t="e">
        <f t="shared" ref="I37:I47" si="24">H37/$AA$6</f>
        <v>#DIV/0!</v>
      </c>
      <c r="J37" s="587">
        <f t="shared" ref="J37:J47" si="25">L37+N37</f>
        <v>0</v>
      </c>
      <c r="K37" s="587">
        <f>K36+J37</f>
        <v>0</v>
      </c>
      <c r="L37" s="483"/>
      <c r="M37" s="587">
        <f>M36+L37</f>
        <v>0</v>
      </c>
      <c r="N37" s="483"/>
      <c r="O37" s="587">
        <f>O36+N37</f>
        <v>0</v>
      </c>
      <c r="P37" s="598" t="e">
        <f t="shared" ref="P37:P47" si="26">O37/$AA$6</f>
        <v>#DIV/0!</v>
      </c>
      <c r="Q37" s="591" t="e">
        <f t="shared" ref="Q37:Q47" si="27">ROUND(O37*$Q$34,0)</f>
        <v>#DIV/0!</v>
      </c>
      <c r="R37" s="591"/>
      <c r="S37" s="591"/>
      <c r="T37" s="591"/>
      <c r="U37" s="591"/>
      <c r="V37" s="591" t="e">
        <f t="shared" si="23"/>
        <v>#DIV/0!</v>
      </c>
      <c r="W37" s="591"/>
      <c r="X37" s="591" t="e">
        <f t="shared" ref="X37:X47" si="28">IF(P37&gt;0,$X$34,0)</f>
        <v>#DIV/0!</v>
      </c>
      <c r="Y37" s="591">
        <f t="shared" ref="Y37:Y47" si="29">IF($K37=0,,($Y$34*$K37))</f>
        <v>0</v>
      </c>
      <c r="Z37" s="591"/>
      <c r="AA37" s="591" t="e">
        <f t="shared" ref="AA37:AA47" si="30">O37*$AA$34</f>
        <v>#DIV/0!</v>
      </c>
      <c r="AB37" s="587">
        <f t="shared" ref="AB37:AB47" si="31">H37</f>
        <v>0</v>
      </c>
      <c r="AC37" s="599">
        <f t="shared" ref="AC37:AC47" si="32">E37</f>
        <v>398</v>
      </c>
      <c r="AD37" s="587">
        <f t="shared" ref="AD37:AD47" si="33">MONTH(AC37)</f>
        <v>2</v>
      </c>
      <c r="AE37" s="599" t="e">
        <f t="shared" ref="AE37:AE46" si="34">IF($AB$50=AD37,AC37,"")</f>
        <v>#DIV/0!</v>
      </c>
      <c r="AF37" s="587" t="e">
        <f>IF(AF36&gt;=1,AF36+1,IF(P37&gt;=0.9,1,0))</f>
        <v>#DIV/0!</v>
      </c>
      <c r="AG37" s="600">
        <f t="shared" ref="AG37:AG47" si="35">E37</f>
        <v>398</v>
      </c>
    </row>
    <row r="38" spans="5:43" s="585" customFormat="1" ht="15.75">
      <c r="E38" s="596">
        <f t="shared" ref="E38:E47" si="36">EDATE(E37,1)</f>
        <v>426</v>
      </c>
      <c r="F38" s="601"/>
      <c r="G38" s="483"/>
      <c r="H38" s="587">
        <f t="shared" ref="H38:H47" si="37">H37+G38</f>
        <v>0</v>
      </c>
      <c r="I38" s="598" t="e">
        <f t="shared" si="24"/>
        <v>#DIV/0!</v>
      </c>
      <c r="J38" s="587">
        <f t="shared" si="25"/>
        <v>0</v>
      </c>
      <c r="K38" s="587">
        <f t="shared" ref="K38:K47" si="38">K37+J38</f>
        <v>0</v>
      </c>
      <c r="L38" s="483"/>
      <c r="M38" s="587">
        <f t="shared" ref="M38:M47" si="39">M37+L38</f>
        <v>0</v>
      </c>
      <c r="N38" s="483"/>
      <c r="O38" s="587">
        <f t="shared" ref="O38:O47" si="40">O37+N38</f>
        <v>0</v>
      </c>
      <c r="P38" s="598" t="e">
        <f t="shared" si="26"/>
        <v>#DIV/0!</v>
      </c>
      <c r="Q38" s="591" t="e">
        <f t="shared" si="27"/>
        <v>#DIV/0!</v>
      </c>
      <c r="R38" s="591"/>
      <c r="S38" s="591"/>
      <c r="T38" s="591"/>
      <c r="U38" s="591"/>
      <c r="V38" s="591" t="e">
        <f t="shared" si="23"/>
        <v>#DIV/0!</v>
      </c>
      <c r="W38" s="591"/>
      <c r="X38" s="591" t="e">
        <f t="shared" si="28"/>
        <v>#DIV/0!</v>
      </c>
      <c r="Y38" s="591">
        <f t="shared" si="29"/>
        <v>0</v>
      </c>
      <c r="Z38" s="591"/>
      <c r="AA38" s="591" t="e">
        <f t="shared" si="30"/>
        <v>#DIV/0!</v>
      </c>
      <c r="AB38" s="587">
        <f t="shared" si="31"/>
        <v>0</v>
      </c>
      <c r="AC38" s="599">
        <f t="shared" si="32"/>
        <v>426</v>
      </c>
      <c r="AD38" s="587">
        <f t="shared" si="33"/>
        <v>3</v>
      </c>
      <c r="AE38" s="599" t="e">
        <f t="shared" si="34"/>
        <v>#DIV/0!</v>
      </c>
      <c r="AF38" s="587" t="e">
        <f t="shared" ref="AF38:AF47" si="41">IF(AF37&gt;=1,AF37+1,IF(P38&gt;=0.9,1,0))</f>
        <v>#DIV/0!</v>
      </c>
      <c r="AG38" s="600">
        <f t="shared" si="35"/>
        <v>426</v>
      </c>
      <c r="AK38" s="1758" t="s">
        <v>1000</v>
      </c>
      <c r="AL38" s="1758"/>
      <c r="AM38" s="1758"/>
      <c r="AN38" s="1758"/>
      <c r="AO38" s="1758"/>
      <c r="AP38" s="1758"/>
      <c r="AQ38" s="1758"/>
    </row>
    <row r="39" spans="5:43" s="585" customFormat="1" ht="15.75">
      <c r="E39" s="596">
        <f t="shared" si="36"/>
        <v>457</v>
      </c>
      <c r="F39" s="601"/>
      <c r="G39" s="483"/>
      <c r="H39" s="587">
        <f t="shared" si="37"/>
        <v>0</v>
      </c>
      <c r="I39" s="598" t="e">
        <f t="shared" si="24"/>
        <v>#DIV/0!</v>
      </c>
      <c r="J39" s="587">
        <f t="shared" si="25"/>
        <v>0</v>
      </c>
      <c r="K39" s="587">
        <f t="shared" si="38"/>
        <v>0</v>
      </c>
      <c r="L39" s="483"/>
      <c r="M39" s="587">
        <f t="shared" si="39"/>
        <v>0</v>
      </c>
      <c r="N39" s="483"/>
      <c r="O39" s="587">
        <f t="shared" si="40"/>
        <v>0</v>
      </c>
      <c r="P39" s="598" t="e">
        <f t="shared" si="26"/>
        <v>#DIV/0!</v>
      </c>
      <c r="Q39" s="591" t="e">
        <f t="shared" si="27"/>
        <v>#DIV/0!</v>
      </c>
      <c r="R39" s="591"/>
      <c r="S39" s="591"/>
      <c r="T39" s="591"/>
      <c r="U39" s="591"/>
      <c r="V39" s="591" t="e">
        <f t="shared" si="23"/>
        <v>#DIV/0!</v>
      </c>
      <c r="W39" s="591"/>
      <c r="X39" s="591" t="e">
        <f t="shared" si="28"/>
        <v>#DIV/0!</v>
      </c>
      <c r="Y39" s="591">
        <f t="shared" si="29"/>
        <v>0</v>
      </c>
      <c r="Z39" s="591"/>
      <c r="AA39" s="591" t="e">
        <f t="shared" si="30"/>
        <v>#DIV/0!</v>
      </c>
      <c r="AB39" s="587">
        <f t="shared" si="31"/>
        <v>0</v>
      </c>
      <c r="AC39" s="599">
        <f t="shared" si="32"/>
        <v>457</v>
      </c>
      <c r="AD39" s="587">
        <f t="shared" si="33"/>
        <v>4</v>
      </c>
      <c r="AE39" s="599" t="e">
        <f t="shared" si="34"/>
        <v>#DIV/0!</v>
      </c>
      <c r="AF39" s="587" t="e">
        <f t="shared" si="41"/>
        <v>#DIV/0!</v>
      </c>
      <c r="AG39" s="600">
        <f t="shared" si="35"/>
        <v>457</v>
      </c>
      <c r="AK39" s="585" t="s">
        <v>1001</v>
      </c>
      <c r="AO39" s="587">
        <f>YEAR($M$6)</f>
        <v>1900</v>
      </c>
      <c r="AP39" s="592" t="e">
        <f>AA28</f>
        <v>#DIV/0!</v>
      </c>
    </row>
    <row r="40" spans="5:43" s="585" customFormat="1" ht="15.75">
      <c r="E40" s="596">
        <f t="shared" si="36"/>
        <v>487</v>
      </c>
      <c r="F40" s="601"/>
      <c r="G40" s="483"/>
      <c r="H40" s="587">
        <f t="shared" si="37"/>
        <v>0</v>
      </c>
      <c r="I40" s="598" t="e">
        <f t="shared" si="24"/>
        <v>#DIV/0!</v>
      </c>
      <c r="J40" s="587">
        <f t="shared" si="25"/>
        <v>0</v>
      </c>
      <c r="K40" s="587">
        <f t="shared" si="38"/>
        <v>0</v>
      </c>
      <c r="L40" s="483"/>
      <c r="M40" s="587">
        <f t="shared" si="39"/>
        <v>0</v>
      </c>
      <c r="N40" s="483"/>
      <c r="O40" s="587">
        <f t="shared" si="40"/>
        <v>0</v>
      </c>
      <c r="P40" s="598" t="e">
        <f t="shared" si="26"/>
        <v>#DIV/0!</v>
      </c>
      <c r="Q40" s="591" t="e">
        <f t="shared" si="27"/>
        <v>#DIV/0!</v>
      </c>
      <c r="R40" s="591"/>
      <c r="S40" s="591"/>
      <c r="T40" s="591"/>
      <c r="U40" s="591"/>
      <c r="V40" s="591" t="e">
        <f t="shared" si="23"/>
        <v>#DIV/0!</v>
      </c>
      <c r="W40" s="591"/>
      <c r="X40" s="591" t="e">
        <f t="shared" si="28"/>
        <v>#DIV/0!</v>
      </c>
      <c r="Y40" s="591">
        <f t="shared" si="29"/>
        <v>0</v>
      </c>
      <c r="Z40" s="591"/>
      <c r="AA40" s="591" t="e">
        <f t="shared" si="30"/>
        <v>#DIV/0!</v>
      </c>
      <c r="AB40" s="587">
        <f t="shared" si="31"/>
        <v>0</v>
      </c>
      <c r="AC40" s="599">
        <f t="shared" si="32"/>
        <v>487</v>
      </c>
      <c r="AD40" s="587">
        <f t="shared" si="33"/>
        <v>5</v>
      </c>
      <c r="AE40" s="599" t="e">
        <f t="shared" si="34"/>
        <v>#DIV/0!</v>
      </c>
      <c r="AF40" s="587" t="e">
        <f t="shared" si="41"/>
        <v>#DIV/0!</v>
      </c>
      <c r="AG40" s="600">
        <f t="shared" si="35"/>
        <v>487</v>
      </c>
      <c r="AK40" s="585" t="s">
        <v>1002</v>
      </c>
      <c r="AM40" s="607" t="e">
        <f>'Tax Credit Calculations'!$I$13+'Tax Credit Calculations'!$K$13</f>
        <v>#DIV/0!</v>
      </c>
      <c r="AO40" s="587">
        <f>AO39+1</f>
        <v>1901</v>
      </c>
      <c r="AP40" s="592" t="e">
        <f>AA49</f>
        <v>#DIV/0!</v>
      </c>
      <c r="AQ40" s="592" t="e">
        <f>AP39+AP40</f>
        <v>#DIV/0!</v>
      </c>
    </row>
    <row r="41" spans="5:43" s="585" customFormat="1" ht="15.75">
      <c r="E41" s="596">
        <f t="shared" si="36"/>
        <v>518</v>
      </c>
      <c r="F41" s="601"/>
      <c r="G41" s="483"/>
      <c r="H41" s="587">
        <f t="shared" si="37"/>
        <v>0</v>
      </c>
      <c r="I41" s="598" t="e">
        <f t="shared" si="24"/>
        <v>#DIV/0!</v>
      </c>
      <c r="J41" s="587">
        <f t="shared" si="25"/>
        <v>0</v>
      </c>
      <c r="K41" s="587">
        <f t="shared" si="38"/>
        <v>0</v>
      </c>
      <c r="L41" s="483"/>
      <c r="M41" s="587">
        <f t="shared" si="39"/>
        <v>0</v>
      </c>
      <c r="N41" s="483"/>
      <c r="O41" s="587">
        <f t="shared" si="40"/>
        <v>0</v>
      </c>
      <c r="P41" s="598" t="e">
        <f t="shared" si="26"/>
        <v>#DIV/0!</v>
      </c>
      <c r="Q41" s="591" t="e">
        <f t="shared" si="27"/>
        <v>#DIV/0!</v>
      </c>
      <c r="R41" s="591"/>
      <c r="S41" s="591"/>
      <c r="T41" s="591"/>
      <c r="U41" s="591"/>
      <c r="V41" s="591" t="e">
        <f t="shared" si="23"/>
        <v>#DIV/0!</v>
      </c>
      <c r="W41" s="591"/>
      <c r="X41" s="591" t="e">
        <f t="shared" si="28"/>
        <v>#DIV/0!</v>
      </c>
      <c r="Y41" s="591">
        <f t="shared" si="29"/>
        <v>0</v>
      </c>
      <c r="Z41" s="591"/>
      <c r="AA41" s="591" t="e">
        <f t="shared" si="30"/>
        <v>#DIV/0!</v>
      </c>
      <c r="AB41" s="587">
        <f t="shared" si="31"/>
        <v>0</v>
      </c>
      <c r="AC41" s="599">
        <f t="shared" si="32"/>
        <v>518</v>
      </c>
      <c r="AD41" s="587">
        <f t="shared" si="33"/>
        <v>6</v>
      </c>
      <c r="AE41" s="599" t="e">
        <f t="shared" si="34"/>
        <v>#DIV/0!</v>
      </c>
      <c r="AF41" s="587" t="e">
        <f t="shared" si="41"/>
        <v>#DIV/0!</v>
      </c>
      <c r="AG41" s="600">
        <f t="shared" si="35"/>
        <v>518</v>
      </c>
      <c r="AL41" s="585" t="s">
        <v>1003</v>
      </c>
      <c r="AM41" s="607" t="e">
        <f>AM40*10</f>
        <v>#DIV/0!</v>
      </c>
      <c r="AO41" s="587">
        <f t="shared" ref="AO41:AO49" si="42">AO40+1</f>
        <v>1902</v>
      </c>
      <c r="AP41" s="592" t="e">
        <f>AA70</f>
        <v>#DIV/0!</v>
      </c>
      <c r="AQ41" s="592" t="e">
        <f t="shared" ref="AQ41:AQ50" si="43">AQ40+AP41</f>
        <v>#DIV/0!</v>
      </c>
    </row>
    <row r="42" spans="5:43" s="585" customFormat="1" ht="15.75">
      <c r="E42" s="596">
        <f t="shared" si="36"/>
        <v>548</v>
      </c>
      <c r="F42" s="601"/>
      <c r="G42" s="483"/>
      <c r="H42" s="587">
        <f t="shared" si="37"/>
        <v>0</v>
      </c>
      <c r="I42" s="598" t="e">
        <f t="shared" si="24"/>
        <v>#DIV/0!</v>
      </c>
      <c r="J42" s="587">
        <f t="shared" si="25"/>
        <v>0</v>
      </c>
      <c r="K42" s="587">
        <f t="shared" si="38"/>
        <v>0</v>
      </c>
      <c r="L42" s="483"/>
      <c r="M42" s="587">
        <f t="shared" si="39"/>
        <v>0</v>
      </c>
      <c r="N42" s="483"/>
      <c r="O42" s="587">
        <f t="shared" si="40"/>
        <v>0</v>
      </c>
      <c r="P42" s="598" t="e">
        <f t="shared" si="26"/>
        <v>#DIV/0!</v>
      </c>
      <c r="Q42" s="591" t="e">
        <f t="shared" si="27"/>
        <v>#DIV/0!</v>
      </c>
      <c r="R42" s="591"/>
      <c r="S42" s="591"/>
      <c r="T42" s="591"/>
      <c r="U42" s="591"/>
      <c r="V42" s="591" t="e">
        <f t="shared" si="23"/>
        <v>#DIV/0!</v>
      </c>
      <c r="W42" s="591"/>
      <c r="X42" s="591" t="e">
        <f t="shared" si="28"/>
        <v>#DIV/0!</v>
      </c>
      <c r="Y42" s="591">
        <f t="shared" si="29"/>
        <v>0</v>
      </c>
      <c r="Z42" s="591"/>
      <c r="AA42" s="591" t="e">
        <f t="shared" si="30"/>
        <v>#DIV/0!</v>
      </c>
      <c r="AB42" s="587">
        <f t="shared" si="31"/>
        <v>0</v>
      </c>
      <c r="AC42" s="599">
        <f t="shared" si="32"/>
        <v>548</v>
      </c>
      <c r="AD42" s="587">
        <f t="shared" si="33"/>
        <v>7</v>
      </c>
      <c r="AE42" s="599" t="e">
        <f t="shared" si="34"/>
        <v>#DIV/0!</v>
      </c>
      <c r="AF42" s="587" t="e">
        <f t="shared" si="41"/>
        <v>#DIV/0!</v>
      </c>
      <c r="AG42" s="600">
        <f t="shared" si="35"/>
        <v>548</v>
      </c>
      <c r="AO42" s="587">
        <f t="shared" si="42"/>
        <v>1903</v>
      </c>
      <c r="AP42" s="592" t="e">
        <f>AA91</f>
        <v>#DIV/0!</v>
      </c>
      <c r="AQ42" s="592" t="e">
        <f t="shared" si="43"/>
        <v>#DIV/0!</v>
      </c>
    </row>
    <row r="43" spans="5:43" s="585" customFormat="1" ht="15.75">
      <c r="E43" s="596">
        <f t="shared" si="36"/>
        <v>579</v>
      </c>
      <c r="F43" s="601"/>
      <c r="G43" s="483"/>
      <c r="H43" s="587">
        <f t="shared" si="37"/>
        <v>0</v>
      </c>
      <c r="I43" s="598" t="e">
        <f t="shared" si="24"/>
        <v>#DIV/0!</v>
      </c>
      <c r="J43" s="587">
        <f t="shared" si="25"/>
        <v>0</v>
      </c>
      <c r="K43" s="587">
        <f t="shared" si="38"/>
        <v>0</v>
      </c>
      <c r="L43" s="483"/>
      <c r="M43" s="587">
        <f t="shared" si="39"/>
        <v>0</v>
      </c>
      <c r="N43" s="483"/>
      <c r="O43" s="587">
        <f t="shared" si="40"/>
        <v>0</v>
      </c>
      <c r="P43" s="598" t="e">
        <f t="shared" si="26"/>
        <v>#DIV/0!</v>
      </c>
      <c r="Q43" s="591" t="e">
        <f t="shared" si="27"/>
        <v>#DIV/0!</v>
      </c>
      <c r="R43" s="591"/>
      <c r="S43" s="591"/>
      <c r="T43" s="591"/>
      <c r="U43" s="591"/>
      <c r="V43" s="591" t="e">
        <f t="shared" si="23"/>
        <v>#DIV/0!</v>
      </c>
      <c r="W43" s="591"/>
      <c r="X43" s="591" t="e">
        <f t="shared" si="28"/>
        <v>#DIV/0!</v>
      </c>
      <c r="Y43" s="591">
        <f t="shared" si="29"/>
        <v>0</v>
      </c>
      <c r="Z43" s="591"/>
      <c r="AA43" s="591" t="e">
        <f t="shared" si="30"/>
        <v>#DIV/0!</v>
      </c>
      <c r="AB43" s="587">
        <f t="shared" si="31"/>
        <v>0</v>
      </c>
      <c r="AC43" s="599">
        <f t="shared" si="32"/>
        <v>579</v>
      </c>
      <c r="AD43" s="587">
        <f t="shared" si="33"/>
        <v>8</v>
      </c>
      <c r="AE43" s="599" t="e">
        <f t="shared" si="34"/>
        <v>#DIV/0!</v>
      </c>
      <c r="AF43" s="587" t="e">
        <f t="shared" si="41"/>
        <v>#DIV/0!</v>
      </c>
      <c r="AG43" s="600">
        <f t="shared" si="35"/>
        <v>579</v>
      </c>
      <c r="AO43" s="587">
        <f t="shared" si="42"/>
        <v>1904</v>
      </c>
      <c r="AP43" s="607" t="e">
        <f>IF($AM$40+AQ42&lt;=$AM$41,$AM$40*'Tax Credit Calculations'!$K$11,$AM$41-AQ42)</f>
        <v>#DIV/0!</v>
      </c>
      <c r="AQ43" s="592" t="e">
        <f t="shared" si="43"/>
        <v>#DIV/0!</v>
      </c>
    </row>
    <row r="44" spans="5:43" s="585" customFormat="1" ht="15.75">
      <c r="E44" s="596">
        <f t="shared" si="36"/>
        <v>610</v>
      </c>
      <c r="F44" s="601"/>
      <c r="G44" s="483"/>
      <c r="H44" s="587">
        <f t="shared" si="37"/>
        <v>0</v>
      </c>
      <c r="I44" s="598" t="e">
        <f t="shared" si="24"/>
        <v>#DIV/0!</v>
      </c>
      <c r="J44" s="587">
        <f t="shared" si="25"/>
        <v>0</v>
      </c>
      <c r="K44" s="587">
        <f t="shared" si="38"/>
        <v>0</v>
      </c>
      <c r="L44" s="483"/>
      <c r="M44" s="587">
        <f t="shared" si="39"/>
        <v>0</v>
      </c>
      <c r="N44" s="483"/>
      <c r="O44" s="587">
        <f t="shared" si="40"/>
        <v>0</v>
      </c>
      <c r="P44" s="598" t="e">
        <f t="shared" si="26"/>
        <v>#DIV/0!</v>
      </c>
      <c r="Q44" s="591" t="e">
        <f t="shared" si="27"/>
        <v>#DIV/0!</v>
      </c>
      <c r="R44" s="591"/>
      <c r="S44" s="591"/>
      <c r="T44" s="591"/>
      <c r="U44" s="591"/>
      <c r="V44" s="591" t="e">
        <f t="shared" si="23"/>
        <v>#DIV/0!</v>
      </c>
      <c r="W44" s="591"/>
      <c r="X44" s="591" t="e">
        <f t="shared" si="28"/>
        <v>#DIV/0!</v>
      </c>
      <c r="Y44" s="591">
        <f t="shared" si="29"/>
        <v>0</v>
      </c>
      <c r="Z44" s="591"/>
      <c r="AA44" s="591" t="e">
        <f t="shared" si="30"/>
        <v>#DIV/0!</v>
      </c>
      <c r="AB44" s="587">
        <f t="shared" si="31"/>
        <v>0</v>
      </c>
      <c r="AC44" s="599">
        <f t="shared" si="32"/>
        <v>610</v>
      </c>
      <c r="AD44" s="587">
        <f t="shared" si="33"/>
        <v>9</v>
      </c>
      <c r="AE44" s="599" t="e">
        <f t="shared" si="34"/>
        <v>#DIV/0!</v>
      </c>
      <c r="AF44" s="587" t="e">
        <f t="shared" si="41"/>
        <v>#DIV/0!</v>
      </c>
      <c r="AG44" s="600">
        <f t="shared" si="35"/>
        <v>610</v>
      </c>
      <c r="AO44" s="587">
        <f t="shared" si="42"/>
        <v>1905</v>
      </c>
      <c r="AP44" s="607" t="e">
        <f t="shared" ref="AP44:AP50" si="44">IF($AM$40+AQ43&lt;=$AM$41,$AM$40,$AM$41-AQ43)</f>
        <v>#DIV/0!</v>
      </c>
      <c r="AQ44" s="592" t="e">
        <f t="shared" si="43"/>
        <v>#DIV/0!</v>
      </c>
    </row>
    <row r="45" spans="5:43" s="585" customFormat="1" ht="15.75">
      <c r="E45" s="596">
        <f t="shared" si="36"/>
        <v>640</v>
      </c>
      <c r="F45" s="601"/>
      <c r="G45" s="483"/>
      <c r="H45" s="587">
        <f t="shared" si="37"/>
        <v>0</v>
      </c>
      <c r="I45" s="598" t="e">
        <f t="shared" si="24"/>
        <v>#DIV/0!</v>
      </c>
      <c r="J45" s="587">
        <f t="shared" si="25"/>
        <v>0</v>
      </c>
      <c r="K45" s="587">
        <f t="shared" si="38"/>
        <v>0</v>
      </c>
      <c r="L45" s="483"/>
      <c r="M45" s="587">
        <f t="shared" si="39"/>
        <v>0</v>
      </c>
      <c r="N45" s="483"/>
      <c r="O45" s="587">
        <f t="shared" si="40"/>
        <v>0</v>
      </c>
      <c r="P45" s="598" t="e">
        <f t="shared" si="26"/>
        <v>#DIV/0!</v>
      </c>
      <c r="Q45" s="591" t="e">
        <f t="shared" si="27"/>
        <v>#DIV/0!</v>
      </c>
      <c r="R45" s="591"/>
      <c r="S45" s="591"/>
      <c r="T45" s="591"/>
      <c r="U45" s="591"/>
      <c r="V45" s="591" t="e">
        <f t="shared" si="23"/>
        <v>#DIV/0!</v>
      </c>
      <c r="W45" s="591"/>
      <c r="X45" s="591" t="e">
        <f t="shared" si="28"/>
        <v>#DIV/0!</v>
      </c>
      <c r="Y45" s="591">
        <f t="shared" si="29"/>
        <v>0</v>
      </c>
      <c r="Z45" s="591"/>
      <c r="AA45" s="591" t="e">
        <f t="shared" si="30"/>
        <v>#DIV/0!</v>
      </c>
      <c r="AB45" s="587">
        <f t="shared" si="31"/>
        <v>0</v>
      </c>
      <c r="AC45" s="599">
        <f t="shared" si="32"/>
        <v>640</v>
      </c>
      <c r="AD45" s="587">
        <f t="shared" si="33"/>
        <v>10</v>
      </c>
      <c r="AE45" s="599" t="e">
        <f t="shared" si="34"/>
        <v>#DIV/0!</v>
      </c>
      <c r="AF45" s="587" t="e">
        <f t="shared" si="41"/>
        <v>#DIV/0!</v>
      </c>
      <c r="AG45" s="600">
        <f t="shared" si="35"/>
        <v>640</v>
      </c>
      <c r="AO45" s="587">
        <f t="shared" si="42"/>
        <v>1906</v>
      </c>
      <c r="AP45" s="607" t="e">
        <f t="shared" si="44"/>
        <v>#DIV/0!</v>
      </c>
      <c r="AQ45" s="592" t="e">
        <f t="shared" si="43"/>
        <v>#DIV/0!</v>
      </c>
    </row>
    <row r="46" spans="5:43" s="585" customFormat="1" ht="15.75">
      <c r="E46" s="596">
        <f t="shared" si="36"/>
        <v>671</v>
      </c>
      <c r="F46" s="601"/>
      <c r="G46" s="483"/>
      <c r="H46" s="587">
        <f t="shared" si="37"/>
        <v>0</v>
      </c>
      <c r="I46" s="598" t="e">
        <f t="shared" si="24"/>
        <v>#DIV/0!</v>
      </c>
      <c r="J46" s="587">
        <f t="shared" si="25"/>
        <v>0</v>
      </c>
      <c r="K46" s="587">
        <f t="shared" si="38"/>
        <v>0</v>
      </c>
      <c r="L46" s="483"/>
      <c r="M46" s="587">
        <f t="shared" si="39"/>
        <v>0</v>
      </c>
      <c r="N46" s="483"/>
      <c r="O46" s="587">
        <f t="shared" si="40"/>
        <v>0</v>
      </c>
      <c r="P46" s="598" t="e">
        <f t="shared" si="26"/>
        <v>#DIV/0!</v>
      </c>
      <c r="Q46" s="591" t="e">
        <f t="shared" si="27"/>
        <v>#DIV/0!</v>
      </c>
      <c r="R46" s="591"/>
      <c r="S46" s="591"/>
      <c r="T46" s="591"/>
      <c r="U46" s="591"/>
      <c r="V46" s="591" t="e">
        <f t="shared" si="23"/>
        <v>#DIV/0!</v>
      </c>
      <c r="W46" s="591"/>
      <c r="X46" s="591" t="e">
        <f t="shared" si="28"/>
        <v>#DIV/0!</v>
      </c>
      <c r="Y46" s="591">
        <f t="shared" si="29"/>
        <v>0</v>
      </c>
      <c r="Z46" s="591"/>
      <c r="AA46" s="591" t="e">
        <f t="shared" si="30"/>
        <v>#DIV/0!</v>
      </c>
      <c r="AB46" s="587">
        <f t="shared" si="31"/>
        <v>0</v>
      </c>
      <c r="AC46" s="599">
        <f t="shared" si="32"/>
        <v>671</v>
      </c>
      <c r="AD46" s="587">
        <f t="shared" si="33"/>
        <v>11</v>
      </c>
      <c r="AE46" s="599" t="e">
        <f t="shared" si="34"/>
        <v>#DIV/0!</v>
      </c>
      <c r="AF46" s="587" t="e">
        <f t="shared" si="41"/>
        <v>#DIV/0!</v>
      </c>
      <c r="AG46" s="600">
        <f t="shared" si="35"/>
        <v>671</v>
      </c>
      <c r="AO46" s="587">
        <f t="shared" si="42"/>
        <v>1907</v>
      </c>
      <c r="AP46" s="607" t="e">
        <f t="shared" si="44"/>
        <v>#DIV/0!</v>
      </c>
      <c r="AQ46" s="592" t="e">
        <f t="shared" si="43"/>
        <v>#DIV/0!</v>
      </c>
    </row>
    <row r="47" spans="5:43" s="585" customFormat="1" ht="15.75">
      <c r="E47" s="596">
        <f t="shared" si="36"/>
        <v>701</v>
      </c>
      <c r="F47" s="601"/>
      <c r="G47" s="483"/>
      <c r="H47" s="587">
        <f t="shared" si="37"/>
        <v>0</v>
      </c>
      <c r="I47" s="598" t="e">
        <f t="shared" si="24"/>
        <v>#DIV/0!</v>
      </c>
      <c r="J47" s="587">
        <f t="shared" si="25"/>
        <v>0</v>
      </c>
      <c r="K47" s="587">
        <f t="shared" si="38"/>
        <v>0</v>
      </c>
      <c r="L47" s="483"/>
      <c r="M47" s="587">
        <f t="shared" si="39"/>
        <v>0</v>
      </c>
      <c r="N47" s="483"/>
      <c r="O47" s="587">
        <f t="shared" si="40"/>
        <v>0</v>
      </c>
      <c r="P47" s="598" t="e">
        <f t="shared" si="26"/>
        <v>#DIV/0!</v>
      </c>
      <c r="Q47" s="591" t="e">
        <f t="shared" si="27"/>
        <v>#DIV/0!</v>
      </c>
      <c r="R47" s="591"/>
      <c r="S47" s="591"/>
      <c r="T47" s="591"/>
      <c r="U47" s="591"/>
      <c r="V47" s="591" t="e">
        <f t="shared" si="23"/>
        <v>#DIV/0!</v>
      </c>
      <c r="W47" s="591"/>
      <c r="X47" s="591" t="e">
        <f t="shared" si="28"/>
        <v>#DIV/0!</v>
      </c>
      <c r="Y47" s="591">
        <f t="shared" si="29"/>
        <v>0</v>
      </c>
      <c r="Z47" s="591"/>
      <c r="AA47" s="591" t="e">
        <f t="shared" si="30"/>
        <v>#DIV/0!</v>
      </c>
      <c r="AB47" s="587">
        <f t="shared" si="31"/>
        <v>0</v>
      </c>
      <c r="AC47" s="599">
        <f t="shared" si="32"/>
        <v>701</v>
      </c>
      <c r="AD47" s="587">
        <f t="shared" si="33"/>
        <v>12</v>
      </c>
      <c r="AE47" s="599" t="e">
        <f>IF($AB$50=AD47,AC47,"")</f>
        <v>#DIV/0!</v>
      </c>
      <c r="AF47" s="587" t="e">
        <f t="shared" si="41"/>
        <v>#DIV/0!</v>
      </c>
      <c r="AG47" s="600">
        <f t="shared" si="35"/>
        <v>701</v>
      </c>
      <c r="AO47" s="587">
        <f t="shared" si="42"/>
        <v>1908</v>
      </c>
      <c r="AP47" s="607" t="e">
        <f t="shared" si="44"/>
        <v>#DIV/0!</v>
      </c>
      <c r="AQ47" s="592" t="e">
        <f t="shared" si="43"/>
        <v>#DIV/0!</v>
      </c>
    </row>
    <row r="48" spans="5:43" s="585" customFormat="1" ht="15.75">
      <c r="E48" s="596" t="s">
        <v>250</v>
      </c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87"/>
      <c r="AC48" s="587"/>
      <c r="AD48" s="587"/>
      <c r="AE48" s="587"/>
      <c r="AF48" s="608"/>
      <c r="AG48" s="608"/>
      <c r="AH48" s="609"/>
      <c r="AO48" s="587">
        <f t="shared" si="42"/>
        <v>1909</v>
      </c>
      <c r="AP48" s="607" t="e">
        <f t="shared" si="44"/>
        <v>#DIV/0!</v>
      </c>
      <c r="AQ48" s="592" t="e">
        <f t="shared" si="43"/>
        <v>#DIV/0!</v>
      </c>
    </row>
    <row r="49" spans="5:43" s="585" customFormat="1" ht="16.5" thickBot="1">
      <c r="E49" s="611" t="e">
        <f>IF(P6/H26=1,"",IF(AB50=0,"",AC49))</f>
        <v>#DIV/0!</v>
      </c>
      <c r="G49" s="603">
        <f>SUM(G36:G47)</f>
        <v>0</v>
      </c>
      <c r="H49" s="603"/>
      <c r="I49" s="603"/>
      <c r="J49" s="603">
        <f>SUM(J36:J47)</f>
        <v>0</v>
      </c>
      <c r="K49" s="603"/>
      <c r="L49" s="603">
        <f>SUM(L36:L47)</f>
        <v>0</v>
      </c>
      <c r="M49" s="603"/>
      <c r="N49" s="603">
        <f>SUM(N36:N47)</f>
        <v>0</v>
      </c>
      <c r="O49" s="603"/>
      <c r="P49" s="603"/>
      <c r="Q49" s="604" t="e">
        <f t="shared" ref="Q49:AA49" si="45">SUM(Q36:Q47)</f>
        <v>#DIV/0!</v>
      </c>
      <c r="R49" s="604">
        <f t="shared" si="45"/>
        <v>0</v>
      </c>
      <c r="S49" s="604">
        <f t="shared" si="45"/>
        <v>0</v>
      </c>
      <c r="T49" s="604">
        <f t="shared" si="45"/>
        <v>0</v>
      </c>
      <c r="U49" s="604">
        <f t="shared" si="45"/>
        <v>0</v>
      </c>
      <c r="V49" s="604" t="e">
        <f t="shared" si="45"/>
        <v>#DIV/0!</v>
      </c>
      <c r="W49" s="604">
        <f t="shared" si="45"/>
        <v>0</v>
      </c>
      <c r="X49" s="604" t="e">
        <f t="shared" si="45"/>
        <v>#DIV/0!</v>
      </c>
      <c r="Y49" s="604">
        <f t="shared" si="45"/>
        <v>0</v>
      </c>
      <c r="Z49" s="604">
        <f t="shared" si="45"/>
        <v>0</v>
      </c>
      <c r="AA49" s="604" t="e">
        <f t="shared" si="45"/>
        <v>#DIV/0!</v>
      </c>
      <c r="AB49" s="587">
        <f>SUM(AB36:AB47)/12</f>
        <v>0</v>
      </c>
      <c r="AC49" s="599" t="e">
        <f>MAX(AE36:AE47)</f>
        <v>#DIV/0!</v>
      </c>
      <c r="AD49" s="587"/>
      <c r="AE49" s="587"/>
      <c r="AF49" s="608"/>
      <c r="AG49" s="610"/>
      <c r="AH49" s="609"/>
      <c r="AO49" s="587">
        <f t="shared" si="42"/>
        <v>1910</v>
      </c>
      <c r="AP49" s="607" t="e">
        <f t="shared" si="44"/>
        <v>#DIV/0!</v>
      </c>
      <c r="AQ49" s="592" t="e">
        <f t="shared" si="43"/>
        <v>#DIV/0!</v>
      </c>
    </row>
    <row r="50" spans="5:43" s="585" customFormat="1" ht="16.5" thickTop="1">
      <c r="E50" s="596"/>
      <c r="AB50" s="587" t="e">
        <f>ROUND(13-(AB49/H47*12),0)</f>
        <v>#DIV/0!</v>
      </c>
      <c r="AF50" s="609"/>
      <c r="AG50" s="609"/>
      <c r="AH50" s="609"/>
      <c r="AO50" s="587">
        <f>AO49+1</f>
        <v>1911</v>
      </c>
      <c r="AP50" s="607" t="e">
        <f t="shared" si="44"/>
        <v>#DIV/0!</v>
      </c>
      <c r="AQ50" s="592" t="e">
        <f t="shared" si="43"/>
        <v>#DIV/0!</v>
      </c>
    </row>
    <row r="51" spans="5:43" s="585" customFormat="1" ht="15.75">
      <c r="E51" s="596"/>
      <c r="H51" s="587" t="s">
        <v>998</v>
      </c>
      <c r="J51" s="605" t="e">
        <f>K47/$AA$6</f>
        <v>#DIV/0!</v>
      </c>
      <c r="N51" s="587" t="str">
        <f>IF(SUM(N36:N47)&gt;0,AVERAGE(N36:N47),"")</f>
        <v/>
      </c>
    </row>
    <row r="52" spans="5:43" s="585" customFormat="1" ht="15.75">
      <c r="E52" s="596"/>
      <c r="J52" s="585" t="s">
        <v>999</v>
      </c>
    </row>
    <row r="53" spans="5:43" s="585" customFormat="1" ht="15.75">
      <c r="E53" s="596"/>
      <c r="F53" s="589" t="s">
        <v>981</v>
      </c>
      <c r="G53" s="589" t="s">
        <v>999</v>
      </c>
      <c r="H53" s="589" t="s">
        <v>226</v>
      </c>
      <c r="I53" s="589" t="s">
        <v>982</v>
      </c>
      <c r="J53" s="589" t="s">
        <v>999</v>
      </c>
      <c r="K53" s="589" t="s">
        <v>903</v>
      </c>
      <c r="L53" s="589" t="s">
        <v>983</v>
      </c>
      <c r="M53" s="589" t="s">
        <v>903</v>
      </c>
      <c r="N53" s="589" t="s">
        <v>984</v>
      </c>
      <c r="O53" s="589" t="s">
        <v>903</v>
      </c>
      <c r="P53" s="589" t="s">
        <v>982</v>
      </c>
      <c r="Q53" s="589" t="s">
        <v>254</v>
      </c>
      <c r="R53" s="589" t="s">
        <v>254</v>
      </c>
      <c r="S53" s="589" t="s">
        <v>999</v>
      </c>
      <c r="T53" s="589" t="s">
        <v>999</v>
      </c>
      <c r="U53" s="589" t="s">
        <v>999</v>
      </c>
      <c r="V53" s="589" t="s">
        <v>985</v>
      </c>
      <c r="W53" s="589"/>
      <c r="X53" s="589" t="s">
        <v>226</v>
      </c>
      <c r="Y53" s="589" t="s">
        <v>254</v>
      </c>
      <c r="Z53" s="589" t="s">
        <v>254</v>
      </c>
      <c r="AA53" s="589" t="s">
        <v>986</v>
      </c>
    </row>
    <row r="54" spans="5:43" s="585" customFormat="1" ht="15.75">
      <c r="E54" s="596"/>
      <c r="F54" s="593" t="s">
        <v>694</v>
      </c>
      <c r="G54" s="593" t="s">
        <v>650</v>
      </c>
      <c r="H54" s="593" t="s">
        <v>650</v>
      </c>
      <c r="I54" s="593" t="s">
        <v>650</v>
      </c>
      <c r="J54" s="593" t="s">
        <v>650</v>
      </c>
      <c r="K54" s="593" t="s">
        <v>650</v>
      </c>
      <c r="L54" s="593" t="s">
        <v>650</v>
      </c>
      <c r="M54" s="593" t="s">
        <v>987</v>
      </c>
      <c r="N54" s="593" t="s">
        <v>650</v>
      </c>
      <c r="O54" s="593" t="s">
        <v>988</v>
      </c>
      <c r="P54" s="593" t="s">
        <v>989</v>
      </c>
      <c r="Q54" s="593" t="s">
        <v>990</v>
      </c>
      <c r="R54" s="593" t="s">
        <v>991</v>
      </c>
      <c r="S54" s="593" t="s">
        <v>999</v>
      </c>
      <c r="T54" s="593" t="s">
        <v>999</v>
      </c>
      <c r="U54" s="593" t="s">
        <v>999</v>
      </c>
      <c r="V54" s="593" t="s">
        <v>978</v>
      </c>
      <c r="W54" s="593"/>
      <c r="X54" s="593" t="s">
        <v>979</v>
      </c>
      <c r="Y54" s="593" t="s">
        <v>993</v>
      </c>
      <c r="Z54" s="593" t="s">
        <v>927</v>
      </c>
      <c r="AA54" s="593" t="s">
        <v>897</v>
      </c>
    </row>
    <row r="55" spans="5:43" s="585" customFormat="1" ht="15.75">
      <c r="E55" s="596"/>
      <c r="F55" s="594" t="s">
        <v>995</v>
      </c>
      <c r="G55" s="594" t="s">
        <v>996</v>
      </c>
      <c r="H55" s="594" t="s">
        <v>996</v>
      </c>
      <c r="I55" s="594" t="s">
        <v>996</v>
      </c>
      <c r="J55" s="594" t="s">
        <v>997</v>
      </c>
      <c r="K55" s="594" t="s">
        <v>997</v>
      </c>
      <c r="L55" s="594" t="s">
        <v>997</v>
      </c>
      <c r="M55" s="594" t="s">
        <v>997</v>
      </c>
      <c r="N55" s="594" t="s">
        <v>997</v>
      </c>
      <c r="O55" s="594" t="s">
        <v>997</v>
      </c>
      <c r="P55" s="594" t="s">
        <v>998</v>
      </c>
      <c r="Q55" s="595" t="e">
        <f>IF(YEAR(E57)=$AK$11,$AM$11,IF(YEAR(E57)=$AK$12,$AM$12,IF(YEAR(E57)=$AK$13,$AM$13,IF(YEAR(E57)=$AK$14,$AM$14,IF(YEAR(E57)=$AK$15,$AM$15,"ERROR")))))</f>
        <v>#DIV/0!</v>
      </c>
      <c r="R55" s="595"/>
      <c r="S55" s="595" t="s">
        <v>999</v>
      </c>
      <c r="T55" s="595" t="s">
        <v>999</v>
      </c>
      <c r="U55" s="595" t="s">
        <v>999</v>
      </c>
      <c r="V55" s="595">
        <f>IF(YEAR(E57)=$AK$11,$AO$11,IF(YEAR(E57)=$AK$12,$AO$12,IF(YEAR(E57)=$AK$13,$AO$13,IF(YEAR(E57)=$AK$14,$AO$14,IF(YEAR(E57)=$AK$15,$AO$15,"ERROR")))))</f>
        <v>0</v>
      </c>
      <c r="W55" s="595"/>
      <c r="X55" s="595">
        <f>IF(YEAR(E57)=$AK$11,$AP$11,IF(YEAR(E57)=$AK$12,$AP$12,IF(YEAR(E57)=$AK$13,$AP$13,IF(YEAR(E57)=$AK$14,$AP$14,IF(YEAR(E57)=$AK$15,$AP$15,"ERROR")))))</f>
        <v>3014.2821250000002</v>
      </c>
      <c r="Y55" s="595">
        <f>IF(YEAR(E57)=$AK$11,$AQ$11,IF(YEAR(E57)=$AK$12,$AQ$12,IF(YEAR(E57)=$AK$13,$AQ$13,IF(YEAR(E57)=$AK$14,$AQ$14,IF(YEAR(E57)=$AK$15,$AQ$15,"ERROR")))))</f>
        <v>0</v>
      </c>
      <c r="Z55" s="595"/>
      <c r="AA55" s="595" t="e">
        <f>'Tax Credit Calculations'!$G$13/'Input Page'!$E$170/12</f>
        <v>#DIV/0!</v>
      </c>
    </row>
    <row r="56" spans="5:43" s="585" customFormat="1" ht="15.75">
      <c r="E56" s="596"/>
      <c r="Q56" s="592"/>
      <c r="R56" s="592"/>
      <c r="S56" s="592"/>
      <c r="T56" s="592"/>
      <c r="U56" s="592"/>
      <c r="V56" s="592"/>
      <c r="W56" s="592"/>
      <c r="X56" s="592"/>
      <c r="Y56" s="592"/>
      <c r="Z56" s="592"/>
      <c r="AA56" s="592"/>
    </row>
    <row r="57" spans="5:43" s="585" customFormat="1" ht="15.75">
      <c r="E57" s="596">
        <f>EDATE(E47,1)</f>
        <v>732</v>
      </c>
      <c r="F57" s="601"/>
      <c r="G57" s="483"/>
      <c r="H57" s="587">
        <f>H47+G57</f>
        <v>0</v>
      </c>
      <c r="I57" s="598" t="e">
        <f>H57/$AA$6</f>
        <v>#DIV/0!</v>
      </c>
      <c r="J57" s="587">
        <f>L57+N57</f>
        <v>0</v>
      </c>
      <c r="K57" s="587">
        <f>K47+J57</f>
        <v>0</v>
      </c>
      <c r="L57" s="483"/>
      <c r="M57" s="587">
        <f>M47+L57</f>
        <v>0</v>
      </c>
      <c r="N57" s="483"/>
      <c r="O57" s="587">
        <f>O47+N57</f>
        <v>0</v>
      </c>
      <c r="P57" s="598" t="e">
        <f>O57/$AA$6</f>
        <v>#DIV/0!</v>
      </c>
      <c r="Q57" s="591" t="e">
        <f>ROUND(O57*$Q$55,0)</f>
        <v>#DIV/0!</v>
      </c>
      <c r="R57" s="591"/>
      <c r="S57" s="591"/>
      <c r="T57" s="591"/>
      <c r="U57" s="591"/>
      <c r="V57" s="591" t="e">
        <f t="shared" ref="V57:V68" si="46">(K57/$P$6)*$V$55</f>
        <v>#DIV/0!</v>
      </c>
      <c r="W57" s="591"/>
      <c r="X57" s="591" t="e">
        <f>IF(P57&gt;0,$X$55,0)</f>
        <v>#DIV/0!</v>
      </c>
      <c r="Y57" s="591">
        <f>IF($K57=0,,($Y$55*$K57))</f>
        <v>0</v>
      </c>
      <c r="Z57" s="591"/>
      <c r="AA57" s="591" t="e">
        <f>O57*$AA$55</f>
        <v>#DIV/0!</v>
      </c>
      <c r="AB57" s="587">
        <f>H57</f>
        <v>0</v>
      </c>
      <c r="AC57" s="596">
        <f>E57</f>
        <v>732</v>
      </c>
      <c r="AD57" s="585">
        <f>MONTH(AC57)</f>
        <v>1</v>
      </c>
      <c r="AE57" s="599" t="e">
        <f>IF($AB$71=AD57,AC57,"")</f>
        <v>#DIV/0!</v>
      </c>
      <c r="AF57" s="587" t="e">
        <f>IF(AF47&gt;=1,AF47+1,IF(P57&gt;=0.9,1,0))</f>
        <v>#DIV/0!</v>
      </c>
      <c r="AG57" s="600">
        <f>E57</f>
        <v>732</v>
      </c>
    </row>
    <row r="58" spans="5:43" s="585" customFormat="1" ht="15.75">
      <c r="E58" s="596">
        <f>EDATE(E57,1)</f>
        <v>763</v>
      </c>
      <c r="F58" s="601"/>
      <c r="G58" s="483"/>
      <c r="H58" s="587">
        <f>H57+G58</f>
        <v>0</v>
      </c>
      <c r="I58" s="598" t="e">
        <f t="shared" ref="I58:I68" si="47">H58/$AA$6</f>
        <v>#DIV/0!</v>
      </c>
      <c r="J58" s="587">
        <f t="shared" ref="J58:J68" si="48">L58+N58</f>
        <v>0</v>
      </c>
      <c r="K58" s="587">
        <f>K57+J58</f>
        <v>0</v>
      </c>
      <c r="L58" s="483"/>
      <c r="M58" s="587">
        <f>M57+L58</f>
        <v>0</v>
      </c>
      <c r="N58" s="483"/>
      <c r="O58" s="587">
        <f>O57+N58</f>
        <v>0</v>
      </c>
      <c r="P58" s="598" t="e">
        <f t="shared" ref="P58:P68" si="49">O58/$AA$6</f>
        <v>#DIV/0!</v>
      </c>
      <c r="Q58" s="591" t="e">
        <f t="shared" ref="Q58:Q68" si="50">ROUND(O58*$Q$55,0)</f>
        <v>#DIV/0!</v>
      </c>
      <c r="R58" s="591"/>
      <c r="S58" s="591"/>
      <c r="T58" s="591"/>
      <c r="U58" s="591"/>
      <c r="V58" s="591" t="e">
        <f t="shared" si="46"/>
        <v>#DIV/0!</v>
      </c>
      <c r="W58" s="591"/>
      <c r="X58" s="591" t="e">
        <f t="shared" ref="X58:X68" si="51">IF(P58&gt;0,$X$55,0)</f>
        <v>#DIV/0!</v>
      </c>
      <c r="Y58" s="591">
        <f t="shared" ref="Y58:Y68" si="52">IF($K58=0,,($Y$55*$K58))</f>
        <v>0</v>
      </c>
      <c r="Z58" s="591"/>
      <c r="AA58" s="591" t="e">
        <f t="shared" ref="AA58:AA68" si="53">O58*$AA$55</f>
        <v>#DIV/0!</v>
      </c>
      <c r="AB58" s="587">
        <f t="shared" ref="AB58:AB68" si="54">H58</f>
        <v>0</v>
      </c>
      <c r="AC58" s="596">
        <f t="shared" ref="AC58:AC68" si="55">E58</f>
        <v>763</v>
      </c>
      <c r="AD58" s="585">
        <f t="shared" ref="AD58:AD68" si="56">MONTH(AC58)</f>
        <v>2</v>
      </c>
      <c r="AE58" s="599" t="e">
        <f>IF($AB$50=AD58,AC58,"")</f>
        <v>#DIV/0!</v>
      </c>
      <c r="AF58" s="587" t="e">
        <f>IF(AF57&gt;=1,AF57+1,IF(P58&gt;=0.9,1,0))</f>
        <v>#DIV/0!</v>
      </c>
      <c r="AG58" s="600">
        <f t="shared" ref="AG58:AG68" si="57">E58</f>
        <v>763</v>
      </c>
    </row>
    <row r="59" spans="5:43" s="585" customFormat="1" ht="15.75">
      <c r="E59" s="596">
        <f t="shared" ref="E59:E68" si="58">EDATE(E58,1)</f>
        <v>791</v>
      </c>
      <c r="F59" s="601"/>
      <c r="G59" s="483"/>
      <c r="H59" s="587">
        <f t="shared" ref="H59:H68" si="59">H58+G59</f>
        <v>0</v>
      </c>
      <c r="I59" s="598" t="e">
        <f t="shared" si="47"/>
        <v>#DIV/0!</v>
      </c>
      <c r="J59" s="587">
        <f t="shared" si="48"/>
        <v>0</v>
      </c>
      <c r="K59" s="587">
        <f t="shared" ref="K59:K68" si="60">K58+J59</f>
        <v>0</v>
      </c>
      <c r="L59" s="483"/>
      <c r="M59" s="587">
        <f t="shared" ref="M59:M68" si="61">M58+L59</f>
        <v>0</v>
      </c>
      <c r="N59" s="483"/>
      <c r="O59" s="587">
        <f t="shared" ref="O59:O68" si="62">O58+N59</f>
        <v>0</v>
      </c>
      <c r="P59" s="598" t="e">
        <f t="shared" si="49"/>
        <v>#DIV/0!</v>
      </c>
      <c r="Q59" s="591" t="e">
        <f t="shared" si="50"/>
        <v>#DIV/0!</v>
      </c>
      <c r="R59" s="591"/>
      <c r="S59" s="591"/>
      <c r="T59" s="591"/>
      <c r="U59" s="591"/>
      <c r="V59" s="591" t="e">
        <f t="shared" si="46"/>
        <v>#DIV/0!</v>
      </c>
      <c r="W59" s="591"/>
      <c r="X59" s="591" t="e">
        <f t="shared" si="51"/>
        <v>#DIV/0!</v>
      </c>
      <c r="Y59" s="591">
        <f t="shared" si="52"/>
        <v>0</v>
      </c>
      <c r="Z59" s="591"/>
      <c r="AA59" s="591" t="e">
        <f t="shared" si="53"/>
        <v>#DIV/0!</v>
      </c>
      <c r="AB59" s="587">
        <f t="shared" si="54"/>
        <v>0</v>
      </c>
      <c r="AC59" s="596">
        <f t="shared" si="55"/>
        <v>791</v>
      </c>
      <c r="AD59" s="585">
        <f t="shared" si="56"/>
        <v>3</v>
      </c>
      <c r="AE59" s="599" t="e">
        <f t="shared" ref="AE59:AE68" si="63">IF($AB$50=AD59,AC59,"")</f>
        <v>#DIV/0!</v>
      </c>
      <c r="AF59" s="587" t="e">
        <f t="shared" ref="AF59:AF68" si="64">IF(AF58&gt;=1,AF58+1,IF(P59&gt;=0.9,1,0))</f>
        <v>#DIV/0!</v>
      </c>
      <c r="AG59" s="600">
        <f t="shared" si="57"/>
        <v>791</v>
      </c>
    </row>
    <row r="60" spans="5:43" s="585" customFormat="1" ht="15.75">
      <c r="E60" s="596">
        <f t="shared" si="58"/>
        <v>822</v>
      </c>
      <c r="F60" s="601"/>
      <c r="G60" s="483"/>
      <c r="H60" s="587">
        <f t="shared" si="59"/>
        <v>0</v>
      </c>
      <c r="I60" s="598" t="e">
        <f t="shared" si="47"/>
        <v>#DIV/0!</v>
      </c>
      <c r="J60" s="587">
        <f t="shared" si="48"/>
        <v>0</v>
      </c>
      <c r="K60" s="587">
        <f t="shared" si="60"/>
        <v>0</v>
      </c>
      <c r="L60" s="483"/>
      <c r="M60" s="587">
        <f t="shared" si="61"/>
        <v>0</v>
      </c>
      <c r="N60" s="483"/>
      <c r="O60" s="587">
        <f t="shared" si="62"/>
        <v>0</v>
      </c>
      <c r="P60" s="598" t="e">
        <f t="shared" si="49"/>
        <v>#DIV/0!</v>
      </c>
      <c r="Q60" s="591" t="e">
        <f t="shared" si="50"/>
        <v>#DIV/0!</v>
      </c>
      <c r="R60" s="591"/>
      <c r="S60" s="591"/>
      <c r="T60" s="591"/>
      <c r="U60" s="591"/>
      <c r="V60" s="591" t="e">
        <f t="shared" si="46"/>
        <v>#DIV/0!</v>
      </c>
      <c r="W60" s="591"/>
      <c r="X60" s="591" t="e">
        <f t="shared" si="51"/>
        <v>#DIV/0!</v>
      </c>
      <c r="Y60" s="591">
        <f t="shared" si="52"/>
        <v>0</v>
      </c>
      <c r="Z60" s="591"/>
      <c r="AA60" s="591" t="e">
        <f t="shared" si="53"/>
        <v>#DIV/0!</v>
      </c>
      <c r="AB60" s="587">
        <f t="shared" si="54"/>
        <v>0</v>
      </c>
      <c r="AC60" s="596">
        <f t="shared" si="55"/>
        <v>822</v>
      </c>
      <c r="AD60" s="585">
        <f t="shared" si="56"/>
        <v>4</v>
      </c>
      <c r="AE60" s="599" t="e">
        <f t="shared" si="63"/>
        <v>#DIV/0!</v>
      </c>
      <c r="AF60" s="587" t="e">
        <f t="shared" si="64"/>
        <v>#DIV/0!</v>
      </c>
      <c r="AG60" s="600">
        <f t="shared" si="57"/>
        <v>822</v>
      </c>
    </row>
    <row r="61" spans="5:43" s="585" customFormat="1" ht="15.75">
      <c r="E61" s="596">
        <f t="shared" si="58"/>
        <v>852</v>
      </c>
      <c r="F61" s="601"/>
      <c r="G61" s="483"/>
      <c r="H61" s="587">
        <f t="shared" si="59"/>
        <v>0</v>
      </c>
      <c r="I61" s="598" t="e">
        <f t="shared" si="47"/>
        <v>#DIV/0!</v>
      </c>
      <c r="J61" s="587">
        <f t="shared" si="48"/>
        <v>0</v>
      </c>
      <c r="K61" s="587">
        <f t="shared" si="60"/>
        <v>0</v>
      </c>
      <c r="L61" s="483"/>
      <c r="M61" s="587">
        <f t="shared" si="61"/>
        <v>0</v>
      </c>
      <c r="N61" s="483"/>
      <c r="O61" s="587">
        <f t="shared" si="62"/>
        <v>0</v>
      </c>
      <c r="P61" s="598" t="e">
        <f t="shared" si="49"/>
        <v>#DIV/0!</v>
      </c>
      <c r="Q61" s="591" t="e">
        <f t="shared" si="50"/>
        <v>#DIV/0!</v>
      </c>
      <c r="R61" s="591"/>
      <c r="S61" s="591"/>
      <c r="T61" s="591"/>
      <c r="U61" s="591"/>
      <c r="V61" s="591" t="e">
        <f t="shared" si="46"/>
        <v>#DIV/0!</v>
      </c>
      <c r="W61" s="591"/>
      <c r="X61" s="591" t="e">
        <f t="shared" si="51"/>
        <v>#DIV/0!</v>
      </c>
      <c r="Y61" s="591">
        <f t="shared" si="52"/>
        <v>0</v>
      </c>
      <c r="Z61" s="591"/>
      <c r="AA61" s="591" t="e">
        <f t="shared" si="53"/>
        <v>#DIV/0!</v>
      </c>
      <c r="AB61" s="587">
        <f t="shared" si="54"/>
        <v>0</v>
      </c>
      <c r="AC61" s="596">
        <f t="shared" si="55"/>
        <v>852</v>
      </c>
      <c r="AD61" s="585">
        <f t="shared" si="56"/>
        <v>5</v>
      </c>
      <c r="AE61" s="599" t="e">
        <f t="shared" si="63"/>
        <v>#DIV/0!</v>
      </c>
      <c r="AF61" s="587" t="e">
        <f t="shared" si="64"/>
        <v>#DIV/0!</v>
      </c>
      <c r="AG61" s="600">
        <f t="shared" si="57"/>
        <v>852</v>
      </c>
    </row>
    <row r="62" spans="5:43" s="585" customFormat="1" ht="15.75">
      <c r="E62" s="596">
        <f t="shared" si="58"/>
        <v>883</v>
      </c>
      <c r="F62" s="601"/>
      <c r="G62" s="483"/>
      <c r="H62" s="587">
        <f t="shared" si="59"/>
        <v>0</v>
      </c>
      <c r="I62" s="598" t="e">
        <f t="shared" si="47"/>
        <v>#DIV/0!</v>
      </c>
      <c r="J62" s="587">
        <f t="shared" si="48"/>
        <v>0</v>
      </c>
      <c r="K62" s="587">
        <f t="shared" si="60"/>
        <v>0</v>
      </c>
      <c r="L62" s="483"/>
      <c r="M62" s="587">
        <f t="shared" si="61"/>
        <v>0</v>
      </c>
      <c r="N62" s="483"/>
      <c r="O62" s="587">
        <f t="shared" si="62"/>
        <v>0</v>
      </c>
      <c r="P62" s="598" t="e">
        <f t="shared" si="49"/>
        <v>#DIV/0!</v>
      </c>
      <c r="Q62" s="591" t="e">
        <f t="shared" si="50"/>
        <v>#DIV/0!</v>
      </c>
      <c r="R62" s="591"/>
      <c r="S62" s="591"/>
      <c r="T62" s="591"/>
      <c r="U62" s="591"/>
      <c r="V62" s="591" t="e">
        <f t="shared" si="46"/>
        <v>#DIV/0!</v>
      </c>
      <c r="W62" s="591"/>
      <c r="X62" s="591" t="e">
        <f t="shared" si="51"/>
        <v>#DIV/0!</v>
      </c>
      <c r="Y62" s="591">
        <f t="shared" si="52"/>
        <v>0</v>
      </c>
      <c r="Z62" s="591"/>
      <c r="AA62" s="591" t="e">
        <f t="shared" si="53"/>
        <v>#DIV/0!</v>
      </c>
      <c r="AB62" s="587">
        <f t="shared" si="54"/>
        <v>0</v>
      </c>
      <c r="AC62" s="596">
        <f t="shared" si="55"/>
        <v>883</v>
      </c>
      <c r="AD62" s="585">
        <f t="shared" si="56"/>
        <v>6</v>
      </c>
      <c r="AE62" s="599" t="e">
        <f t="shared" si="63"/>
        <v>#DIV/0!</v>
      </c>
      <c r="AF62" s="587" t="e">
        <f t="shared" si="64"/>
        <v>#DIV/0!</v>
      </c>
      <c r="AG62" s="600">
        <f t="shared" si="57"/>
        <v>883</v>
      </c>
    </row>
    <row r="63" spans="5:43" s="585" customFormat="1" ht="15.75">
      <c r="E63" s="596">
        <f t="shared" si="58"/>
        <v>913</v>
      </c>
      <c r="F63" s="601"/>
      <c r="G63" s="483"/>
      <c r="H63" s="587">
        <f t="shared" si="59"/>
        <v>0</v>
      </c>
      <c r="I63" s="598" t="e">
        <f t="shared" si="47"/>
        <v>#DIV/0!</v>
      </c>
      <c r="J63" s="587">
        <f t="shared" si="48"/>
        <v>0</v>
      </c>
      <c r="K63" s="587">
        <f t="shared" si="60"/>
        <v>0</v>
      </c>
      <c r="L63" s="483"/>
      <c r="M63" s="587">
        <f t="shared" si="61"/>
        <v>0</v>
      </c>
      <c r="N63" s="483"/>
      <c r="O63" s="587">
        <f t="shared" si="62"/>
        <v>0</v>
      </c>
      <c r="P63" s="598" t="e">
        <f t="shared" si="49"/>
        <v>#DIV/0!</v>
      </c>
      <c r="Q63" s="591" t="e">
        <f t="shared" si="50"/>
        <v>#DIV/0!</v>
      </c>
      <c r="R63" s="591"/>
      <c r="S63" s="591"/>
      <c r="T63" s="591"/>
      <c r="U63" s="591"/>
      <c r="V63" s="591" t="e">
        <f t="shared" si="46"/>
        <v>#DIV/0!</v>
      </c>
      <c r="W63" s="591"/>
      <c r="X63" s="591" t="e">
        <f t="shared" si="51"/>
        <v>#DIV/0!</v>
      </c>
      <c r="Y63" s="591">
        <f t="shared" si="52"/>
        <v>0</v>
      </c>
      <c r="Z63" s="591"/>
      <c r="AA63" s="591" t="e">
        <f t="shared" si="53"/>
        <v>#DIV/0!</v>
      </c>
      <c r="AB63" s="587">
        <f t="shared" si="54"/>
        <v>0</v>
      </c>
      <c r="AC63" s="596">
        <f t="shared" si="55"/>
        <v>913</v>
      </c>
      <c r="AD63" s="585">
        <f t="shared" si="56"/>
        <v>7</v>
      </c>
      <c r="AE63" s="599" t="e">
        <f t="shared" si="63"/>
        <v>#DIV/0!</v>
      </c>
      <c r="AF63" s="587" t="e">
        <f t="shared" si="64"/>
        <v>#DIV/0!</v>
      </c>
      <c r="AG63" s="600">
        <f t="shared" si="57"/>
        <v>913</v>
      </c>
    </row>
    <row r="64" spans="5:43" s="585" customFormat="1" ht="15.75">
      <c r="E64" s="596">
        <f t="shared" si="58"/>
        <v>944</v>
      </c>
      <c r="F64" s="601"/>
      <c r="G64" s="483"/>
      <c r="H64" s="587">
        <f t="shared" si="59"/>
        <v>0</v>
      </c>
      <c r="I64" s="598" t="e">
        <f t="shared" si="47"/>
        <v>#DIV/0!</v>
      </c>
      <c r="J64" s="587">
        <f t="shared" si="48"/>
        <v>0</v>
      </c>
      <c r="K64" s="587">
        <f t="shared" si="60"/>
        <v>0</v>
      </c>
      <c r="L64" s="483"/>
      <c r="M64" s="587">
        <f t="shared" si="61"/>
        <v>0</v>
      </c>
      <c r="N64" s="483"/>
      <c r="O64" s="587">
        <f t="shared" si="62"/>
        <v>0</v>
      </c>
      <c r="P64" s="598" t="e">
        <f t="shared" si="49"/>
        <v>#DIV/0!</v>
      </c>
      <c r="Q64" s="591" t="e">
        <f t="shared" si="50"/>
        <v>#DIV/0!</v>
      </c>
      <c r="R64" s="591"/>
      <c r="S64" s="591"/>
      <c r="T64" s="591"/>
      <c r="U64" s="591"/>
      <c r="V64" s="591" t="e">
        <f t="shared" si="46"/>
        <v>#DIV/0!</v>
      </c>
      <c r="W64" s="591"/>
      <c r="X64" s="591" t="e">
        <f t="shared" si="51"/>
        <v>#DIV/0!</v>
      </c>
      <c r="Y64" s="591">
        <f t="shared" si="52"/>
        <v>0</v>
      </c>
      <c r="Z64" s="591"/>
      <c r="AA64" s="591" t="e">
        <f t="shared" si="53"/>
        <v>#DIV/0!</v>
      </c>
      <c r="AB64" s="587">
        <f t="shared" si="54"/>
        <v>0</v>
      </c>
      <c r="AC64" s="596">
        <f t="shared" si="55"/>
        <v>944</v>
      </c>
      <c r="AD64" s="585">
        <f t="shared" si="56"/>
        <v>8</v>
      </c>
      <c r="AE64" s="599" t="e">
        <f t="shared" si="63"/>
        <v>#DIV/0!</v>
      </c>
      <c r="AF64" s="587" t="e">
        <f t="shared" si="64"/>
        <v>#DIV/0!</v>
      </c>
      <c r="AG64" s="600">
        <f t="shared" si="57"/>
        <v>944</v>
      </c>
    </row>
    <row r="65" spans="5:33" s="585" customFormat="1" ht="15.75">
      <c r="E65" s="596">
        <f t="shared" si="58"/>
        <v>975</v>
      </c>
      <c r="F65" s="601"/>
      <c r="G65" s="483"/>
      <c r="H65" s="587">
        <f t="shared" si="59"/>
        <v>0</v>
      </c>
      <c r="I65" s="598" t="e">
        <f t="shared" si="47"/>
        <v>#DIV/0!</v>
      </c>
      <c r="J65" s="587">
        <f t="shared" si="48"/>
        <v>0</v>
      </c>
      <c r="K65" s="587">
        <f t="shared" si="60"/>
        <v>0</v>
      </c>
      <c r="L65" s="483"/>
      <c r="M65" s="587">
        <f t="shared" si="61"/>
        <v>0</v>
      </c>
      <c r="N65" s="483"/>
      <c r="O65" s="587">
        <f t="shared" si="62"/>
        <v>0</v>
      </c>
      <c r="P65" s="598" t="e">
        <f t="shared" si="49"/>
        <v>#DIV/0!</v>
      </c>
      <c r="Q65" s="591" t="e">
        <f t="shared" si="50"/>
        <v>#DIV/0!</v>
      </c>
      <c r="R65" s="591"/>
      <c r="S65" s="591"/>
      <c r="T65" s="591"/>
      <c r="U65" s="591"/>
      <c r="V65" s="591" t="e">
        <f t="shared" si="46"/>
        <v>#DIV/0!</v>
      </c>
      <c r="W65" s="591"/>
      <c r="X65" s="591" t="e">
        <f t="shared" si="51"/>
        <v>#DIV/0!</v>
      </c>
      <c r="Y65" s="591">
        <f t="shared" si="52"/>
        <v>0</v>
      </c>
      <c r="Z65" s="591"/>
      <c r="AA65" s="591" t="e">
        <f t="shared" si="53"/>
        <v>#DIV/0!</v>
      </c>
      <c r="AB65" s="587">
        <f t="shared" si="54"/>
        <v>0</v>
      </c>
      <c r="AC65" s="596">
        <f t="shared" si="55"/>
        <v>975</v>
      </c>
      <c r="AD65" s="585">
        <f t="shared" si="56"/>
        <v>9</v>
      </c>
      <c r="AE65" s="599" t="e">
        <f t="shared" si="63"/>
        <v>#DIV/0!</v>
      </c>
      <c r="AF65" s="587" t="e">
        <f t="shared" si="64"/>
        <v>#DIV/0!</v>
      </c>
      <c r="AG65" s="600">
        <f t="shared" si="57"/>
        <v>975</v>
      </c>
    </row>
    <row r="66" spans="5:33" s="585" customFormat="1" ht="15.75">
      <c r="E66" s="596">
        <f t="shared" si="58"/>
        <v>1005</v>
      </c>
      <c r="F66" s="601"/>
      <c r="G66" s="483"/>
      <c r="H66" s="587">
        <f t="shared" si="59"/>
        <v>0</v>
      </c>
      <c r="I66" s="598" t="e">
        <f t="shared" si="47"/>
        <v>#DIV/0!</v>
      </c>
      <c r="J66" s="587">
        <f t="shared" si="48"/>
        <v>0</v>
      </c>
      <c r="K66" s="587">
        <f t="shared" si="60"/>
        <v>0</v>
      </c>
      <c r="L66" s="483"/>
      <c r="M66" s="587">
        <f t="shared" si="61"/>
        <v>0</v>
      </c>
      <c r="N66" s="483"/>
      <c r="O66" s="587">
        <f t="shared" si="62"/>
        <v>0</v>
      </c>
      <c r="P66" s="598" t="e">
        <f t="shared" si="49"/>
        <v>#DIV/0!</v>
      </c>
      <c r="Q66" s="591" t="e">
        <f t="shared" si="50"/>
        <v>#DIV/0!</v>
      </c>
      <c r="R66" s="591"/>
      <c r="S66" s="591"/>
      <c r="T66" s="591"/>
      <c r="U66" s="591"/>
      <c r="V66" s="591" t="e">
        <f t="shared" si="46"/>
        <v>#DIV/0!</v>
      </c>
      <c r="W66" s="591"/>
      <c r="X66" s="591" t="e">
        <f t="shared" si="51"/>
        <v>#DIV/0!</v>
      </c>
      <c r="Y66" s="591">
        <f t="shared" si="52"/>
        <v>0</v>
      </c>
      <c r="Z66" s="591"/>
      <c r="AA66" s="591" t="e">
        <f t="shared" si="53"/>
        <v>#DIV/0!</v>
      </c>
      <c r="AB66" s="587">
        <f t="shared" si="54"/>
        <v>0</v>
      </c>
      <c r="AC66" s="596">
        <f t="shared" si="55"/>
        <v>1005</v>
      </c>
      <c r="AD66" s="585">
        <f t="shared" si="56"/>
        <v>10</v>
      </c>
      <c r="AE66" s="599" t="e">
        <f t="shared" si="63"/>
        <v>#DIV/0!</v>
      </c>
      <c r="AF66" s="587" t="e">
        <f t="shared" si="64"/>
        <v>#DIV/0!</v>
      </c>
      <c r="AG66" s="600">
        <f t="shared" si="57"/>
        <v>1005</v>
      </c>
    </row>
    <row r="67" spans="5:33" s="585" customFormat="1" ht="15.75">
      <c r="E67" s="596">
        <f t="shared" si="58"/>
        <v>1036</v>
      </c>
      <c r="F67" s="601"/>
      <c r="G67" s="483"/>
      <c r="H67" s="587">
        <f t="shared" si="59"/>
        <v>0</v>
      </c>
      <c r="I67" s="598" t="e">
        <f t="shared" si="47"/>
        <v>#DIV/0!</v>
      </c>
      <c r="J67" s="587">
        <f t="shared" si="48"/>
        <v>0</v>
      </c>
      <c r="K67" s="587">
        <f t="shared" si="60"/>
        <v>0</v>
      </c>
      <c r="L67" s="483"/>
      <c r="M67" s="587">
        <f t="shared" si="61"/>
        <v>0</v>
      </c>
      <c r="N67" s="483"/>
      <c r="O67" s="587">
        <f t="shared" si="62"/>
        <v>0</v>
      </c>
      <c r="P67" s="598" t="e">
        <f t="shared" si="49"/>
        <v>#DIV/0!</v>
      </c>
      <c r="Q67" s="591" t="e">
        <f t="shared" si="50"/>
        <v>#DIV/0!</v>
      </c>
      <c r="R67" s="591"/>
      <c r="S67" s="591"/>
      <c r="T67" s="591"/>
      <c r="U67" s="591"/>
      <c r="V67" s="591" t="e">
        <f t="shared" si="46"/>
        <v>#DIV/0!</v>
      </c>
      <c r="W67" s="591"/>
      <c r="X67" s="591" t="e">
        <f t="shared" si="51"/>
        <v>#DIV/0!</v>
      </c>
      <c r="Y67" s="591">
        <f t="shared" si="52"/>
        <v>0</v>
      </c>
      <c r="Z67" s="591"/>
      <c r="AA67" s="591" t="e">
        <f t="shared" si="53"/>
        <v>#DIV/0!</v>
      </c>
      <c r="AB67" s="587">
        <f t="shared" si="54"/>
        <v>0</v>
      </c>
      <c r="AC67" s="596">
        <f t="shared" si="55"/>
        <v>1036</v>
      </c>
      <c r="AD67" s="585">
        <f t="shared" si="56"/>
        <v>11</v>
      </c>
      <c r="AE67" s="599" t="e">
        <f t="shared" si="63"/>
        <v>#DIV/0!</v>
      </c>
      <c r="AF67" s="587" t="e">
        <f t="shared" si="64"/>
        <v>#DIV/0!</v>
      </c>
      <c r="AG67" s="600">
        <f t="shared" si="57"/>
        <v>1036</v>
      </c>
    </row>
    <row r="68" spans="5:33" s="585" customFormat="1" ht="15.75">
      <c r="E68" s="596">
        <f t="shared" si="58"/>
        <v>1066</v>
      </c>
      <c r="F68" s="601"/>
      <c r="G68" s="483"/>
      <c r="H68" s="587">
        <f t="shared" si="59"/>
        <v>0</v>
      </c>
      <c r="I68" s="598" t="e">
        <f t="shared" si="47"/>
        <v>#DIV/0!</v>
      </c>
      <c r="J68" s="587">
        <f t="shared" si="48"/>
        <v>0</v>
      </c>
      <c r="K68" s="587">
        <f t="shared" si="60"/>
        <v>0</v>
      </c>
      <c r="L68" s="483"/>
      <c r="M68" s="587">
        <f t="shared" si="61"/>
        <v>0</v>
      </c>
      <c r="N68" s="483"/>
      <c r="O68" s="587">
        <f t="shared" si="62"/>
        <v>0</v>
      </c>
      <c r="P68" s="598" t="e">
        <f t="shared" si="49"/>
        <v>#DIV/0!</v>
      </c>
      <c r="Q68" s="591" t="e">
        <f t="shared" si="50"/>
        <v>#DIV/0!</v>
      </c>
      <c r="R68" s="591"/>
      <c r="S68" s="591"/>
      <c r="T68" s="591"/>
      <c r="U68" s="591"/>
      <c r="V68" s="591" t="e">
        <f t="shared" si="46"/>
        <v>#DIV/0!</v>
      </c>
      <c r="W68" s="591"/>
      <c r="X68" s="591" t="e">
        <f t="shared" si="51"/>
        <v>#DIV/0!</v>
      </c>
      <c r="Y68" s="591">
        <f t="shared" si="52"/>
        <v>0</v>
      </c>
      <c r="Z68" s="591"/>
      <c r="AA68" s="591" t="e">
        <f t="shared" si="53"/>
        <v>#DIV/0!</v>
      </c>
      <c r="AB68" s="587">
        <f t="shared" si="54"/>
        <v>0</v>
      </c>
      <c r="AC68" s="596">
        <f t="shared" si="55"/>
        <v>1066</v>
      </c>
      <c r="AD68" s="585">
        <f t="shared" si="56"/>
        <v>12</v>
      </c>
      <c r="AE68" s="599" t="e">
        <f t="shared" si="63"/>
        <v>#DIV/0!</v>
      </c>
      <c r="AF68" s="587" t="e">
        <f t="shared" si="64"/>
        <v>#DIV/0!</v>
      </c>
      <c r="AG68" s="600">
        <f t="shared" si="57"/>
        <v>1066</v>
      </c>
    </row>
    <row r="69" spans="5:33" s="585" customFormat="1" ht="15.75">
      <c r="E69" s="596" t="s">
        <v>250</v>
      </c>
      <c r="G69" s="587"/>
      <c r="H69" s="587"/>
      <c r="I69" s="587"/>
      <c r="J69" s="587"/>
      <c r="K69" s="587"/>
      <c r="L69" s="587"/>
      <c r="M69" s="587"/>
      <c r="N69" s="587"/>
      <c r="O69" s="587"/>
      <c r="P69" s="587"/>
      <c r="Q69" s="591"/>
      <c r="R69" s="591"/>
      <c r="S69" s="591"/>
      <c r="T69" s="591"/>
      <c r="U69" s="591"/>
      <c r="V69" s="591"/>
      <c r="W69" s="591"/>
      <c r="X69" s="591"/>
      <c r="Y69" s="591"/>
      <c r="Z69" s="591"/>
      <c r="AA69" s="591"/>
      <c r="AB69" s="587"/>
      <c r="AG69" s="585" t="s">
        <v>250</v>
      </c>
    </row>
    <row r="70" spans="5:33" s="585" customFormat="1" ht="16.5" thickBot="1">
      <c r="E70" s="611" t="e">
        <f>IF(P6/H47=1,"",IF(AB71=0,"",AC70))</f>
        <v>#DIV/0!</v>
      </c>
      <c r="G70" s="603">
        <f>SUM(G57:G68)</f>
        <v>0</v>
      </c>
      <c r="H70" s="603"/>
      <c r="I70" s="603"/>
      <c r="J70" s="603">
        <f>SUM(J57:J68)</f>
        <v>0</v>
      </c>
      <c r="K70" s="603"/>
      <c r="L70" s="603">
        <f>SUM(L57:L68)</f>
        <v>0</v>
      </c>
      <c r="M70" s="603"/>
      <c r="N70" s="603">
        <f>SUM(N57:N68)</f>
        <v>0</v>
      </c>
      <c r="O70" s="603"/>
      <c r="P70" s="603"/>
      <c r="Q70" s="604" t="e">
        <f t="shared" ref="Q70:AA70" si="65">SUM(Q57:Q68)</f>
        <v>#DIV/0!</v>
      </c>
      <c r="R70" s="604">
        <f t="shared" si="65"/>
        <v>0</v>
      </c>
      <c r="S70" s="604">
        <f t="shared" si="65"/>
        <v>0</v>
      </c>
      <c r="T70" s="604">
        <f t="shared" si="65"/>
        <v>0</v>
      </c>
      <c r="U70" s="604">
        <f t="shared" si="65"/>
        <v>0</v>
      </c>
      <c r="V70" s="604" t="e">
        <f t="shared" si="65"/>
        <v>#DIV/0!</v>
      </c>
      <c r="W70" s="604">
        <f t="shared" si="65"/>
        <v>0</v>
      </c>
      <c r="X70" s="604" t="e">
        <f t="shared" si="65"/>
        <v>#DIV/0!</v>
      </c>
      <c r="Y70" s="604">
        <f t="shared" si="65"/>
        <v>0</v>
      </c>
      <c r="Z70" s="604">
        <f t="shared" si="65"/>
        <v>0</v>
      </c>
      <c r="AA70" s="604" t="e">
        <f t="shared" si="65"/>
        <v>#DIV/0!</v>
      </c>
      <c r="AB70" s="587">
        <f>SUM(AB57:AB68)/12</f>
        <v>0</v>
      </c>
      <c r="AC70" s="596" t="e">
        <f>MAX(AE57:AE68)</f>
        <v>#DIV/0!</v>
      </c>
      <c r="AG70" s="585" t="s">
        <v>999</v>
      </c>
    </row>
    <row r="71" spans="5:33" s="585" customFormat="1" ht="16.5" thickTop="1">
      <c r="E71" s="596"/>
      <c r="AB71" s="587" t="e">
        <f>ROUND(13-(AB70/H68*12),0)</f>
        <v>#DIV/0!</v>
      </c>
    </row>
    <row r="72" spans="5:33" s="585" customFormat="1" ht="15.75">
      <c r="E72" s="596"/>
      <c r="H72" s="587" t="s">
        <v>998</v>
      </c>
      <c r="J72" s="605" t="e">
        <f>K68/$AA$6</f>
        <v>#DIV/0!</v>
      </c>
      <c r="N72" s="587" t="str">
        <f>IF(SUM(N57:N68)&gt;0,AVERAGE(N57:N68),"")</f>
        <v/>
      </c>
    </row>
    <row r="73" spans="5:33" s="585" customFormat="1" ht="15.75">
      <c r="E73" s="596"/>
      <c r="J73" s="585" t="s">
        <v>999</v>
      </c>
    </row>
    <row r="74" spans="5:33" s="585" customFormat="1" ht="15.75">
      <c r="E74" s="596"/>
      <c r="F74" s="589" t="s">
        <v>981</v>
      </c>
      <c r="G74" s="589" t="s">
        <v>999</v>
      </c>
      <c r="H74" s="589" t="s">
        <v>226</v>
      </c>
      <c r="I74" s="589" t="s">
        <v>982</v>
      </c>
      <c r="J74" s="589" t="s">
        <v>999</v>
      </c>
      <c r="K74" s="589" t="s">
        <v>903</v>
      </c>
      <c r="L74" s="589" t="s">
        <v>983</v>
      </c>
      <c r="M74" s="589" t="s">
        <v>903</v>
      </c>
      <c r="N74" s="589" t="s">
        <v>984</v>
      </c>
      <c r="O74" s="589" t="s">
        <v>903</v>
      </c>
      <c r="P74" s="589" t="s">
        <v>982</v>
      </c>
      <c r="Q74" s="589" t="s">
        <v>254</v>
      </c>
      <c r="R74" s="589" t="s">
        <v>254</v>
      </c>
      <c r="S74" s="589" t="s">
        <v>999</v>
      </c>
      <c r="T74" s="589" t="s">
        <v>999</v>
      </c>
      <c r="U74" s="589" t="s">
        <v>999</v>
      </c>
      <c r="V74" s="589" t="s">
        <v>985</v>
      </c>
      <c r="W74" s="589"/>
      <c r="X74" s="589" t="s">
        <v>226</v>
      </c>
      <c r="Y74" s="589" t="s">
        <v>254</v>
      </c>
      <c r="Z74" s="589" t="s">
        <v>254</v>
      </c>
      <c r="AA74" s="589" t="s">
        <v>986</v>
      </c>
    </row>
    <row r="75" spans="5:33" s="585" customFormat="1" ht="15.75">
      <c r="E75" s="596"/>
      <c r="F75" s="593" t="s">
        <v>694</v>
      </c>
      <c r="G75" s="593" t="s">
        <v>650</v>
      </c>
      <c r="H75" s="593" t="s">
        <v>650</v>
      </c>
      <c r="I75" s="593" t="s">
        <v>650</v>
      </c>
      <c r="J75" s="593" t="s">
        <v>650</v>
      </c>
      <c r="K75" s="593" t="s">
        <v>650</v>
      </c>
      <c r="L75" s="593" t="s">
        <v>650</v>
      </c>
      <c r="M75" s="593" t="s">
        <v>987</v>
      </c>
      <c r="N75" s="593" t="s">
        <v>650</v>
      </c>
      <c r="O75" s="593" t="s">
        <v>988</v>
      </c>
      <c r="P75" s="593" t="s">
        <v>989</v>
      </c>
      <c r="Q75" s="593" t="s">
        <v>990</v>
      </c>
      <c r="R75" s="593" t="s">
        <v>991</v>
      </c>
      <c r="S75" s="593" t="s">
        <v>999</v>
      </c>
      <c r="T75" s="593" t="s">
        <v>999</v>
      </c>
      <c r="U75" s="593" t="s">
        <v>999</v>
      </c>
      <c r="V75" s="593" t="s">
        <v>978</v>
      </c>
      <c r="W75" s="593"/>
      <c r="X75" s="593" t="s">
        <v>979</v>
      </c>
      <c r="Y75" s="593" t="s">
        <v>993</v>
      </c>
      <c r="Z75" s="593" t="s">
        <v>927</v>
      </c>
      <c r="AA75" s="593" t="s">
        <v>897</v>
      </c>
    </row>
    <row r="76" spans="5:33" s="585" customFormat="1" ht="15.75">
      <c r="E76" s="596"/>
      <c r="F76" s="594" t="s">
        <v>995</v>
      </c>
      <c r="G76" s="594" t="s">
        <v>996</v>
      </c>
      <c r="H76" s="594" t="s">
        <v>996</v>
      </c>
      <c r="I76" s="594" t="s">
        <v>996</v>
      </c>
      <c r="J76" s="594" t="s">
        <v>997</v>
      </c>
      <c r="K76" s="594" t="s">
        <v>997</v>
      </c>
      <c r="L76" s="594" t="s">
        <v>997</v>
      </c>
      <c r="M76" s="594" t="s">
        <v>997</v>
      </c>
      <c r="N76" s="594" t="s">
        <v>997</v>
      </c>
      <c r="O76" s="594" t="s">
        <v>997</v>
      </c>
      <c r="P76" s="594" t="s">
        <v>998</v>
      </c>
      <c r="Q76" s="595" t="e">
        <f>IF(YEAR(E78)=$AK$11,$AM$11,IF(YEAR(E78)=$AK$12,$AM$12,IF(YEAR(E78)=$AK$13,$AM$13,IF(YEAR(E78)=$AK$14,$AM$14,IF(YEAR(E78)=$AK$15,$AM$15,"ERROR")))))</f>
        <v>#DIV/0!</v>
      </c>
      <c r="R76" s="595"/>
      <c r="S76" s="595" t="s">
        <v>999</v>
      </c>
      <c r="T76" s="595" t="s">
        <v>999</v>
      </c>
      <c r="U76" s="595" t="s">
        <v>999</v>
      </c>
      <c r="V76" s="595">
        <f>IF(YEAR(E78)=$AK$11,$AO$11,IF(YEAR(E78)=$AK$12,$AO$12,IF(YEAR(E78)=$AK$13,$AO$13,IF(YEAR(E78)=$AK$14,$AO$14,IF(YEAR(E78)=$AK$15,$AO$15,"ERROR")))))</f>
        <v>0</v>
      </c>
      <c r="W76" s="595"/>
      <c r="X76" s="595">
        <f>IF(YEAR(E78)=$AK$11,$AP$11,IF(YEAR(E78)=$AK$12,$AP$12,IF(YEAR(E78)=$AK$13,$AP$13,IF(YEAR(E78)=$AK$14,$AP$14,IF(YEAR(E78)=$AK$15,$AP$15,"ERROR")))))</f>
        <v>3104.7105887500002</v>
      </c>
      <c r="Y76" s="595">
        <f>IF(YEAR(E78)=$AK$11,$AQ$11,IF(YEAR(E78)=$AK$12,$AQ$12,IF(YEAR(E78)=$AK$13,$AQ$13,IF(YEAR(E78)=$AK$14,$AQ$14,IF(YEAR(E78)=$AK$15,$AQ$15,"ERROR")))))</f>
        <v>0</v>
      </c>
      <c r="Z76" s="595"/>
      <c r="AA76" s="595" t="e">
        <f>'Tax Credit Calculations'!$G$13/'Input Page'!$E$170/12</f>
        <v>#DIV/0!</v>
      </c>
    </row>
    <row r="77" spans="5:33" s="585" customFormat="1" ht="15.75">
      <c r="E77" s="596"/>
      <c r="Q77" s="592"/>
      <c r="R77" s="592"/>
      <c r="S77" s="592"/>
      <c r="T77" s="592"/>
      <c r="U77" s="592"/>
      <c r="V77" s="592"/>
      <c r="W77" s="592"/>
      <c r="X77" s="592"/>
      <c r="Y77" s="592"/>
      <c r="Z77" s="592"/>
      <c r="AA77" s="592"/>
    </row>
    <row r="78" spans="5:33" s="585" customFormat="1" ht="15.75">
      <c r="E78" s="596">
        <f>EDATE(E68,1)</f>
        <v>1097</v>
      </c>
      <c r="F78" s="601"/>
      <c r="G78" s="483"/>
      <c r="H78" s="587">
        <f>H68+G78</f>
        <v>0</v>
      </c>
      <c r="I78" s="598" t="e">
        <f>H78/$AA$6</f>
        <v>#DIV/0!</v>
      </c>
      <c r="J78" s="587">
        <f>L78+N78</f>
        <v>0</v>
      </c>
      <c r="K78" s="587">
        <f>K68+J78</f>
        <v>0</v>
      </c>
      <c r="L78" s="483"/>
      <c r="M78" s="587">
        <f>M68+L78</f>
        <v>0</v>
      </c>
      <c r="N78" s="483"/>
      <c r="O78" s="587">
        <f>O68+N78</f>
        <v>0</v>
      </c>
      <c r="P78" s="598" t="e">
        <f>O78/$AA$6</f>
        <v>#DIV/0!</v>
      </c>
      <c r="Q78" s="591" t="e">
        <f>ROUND(O78*$Q$76,0)</f>
        <v>#DIV/0!</v>
      </c>
      <c r="R78" s="591"/>
      <c r="S78" s="591"/>
      <c r="T78" s="591"/>
      <c r="U78" s="591"/>
      <c r="V78" s="591" t="e">
        <f t="shared" ref="V78:V89" si="66">(K78/$P$6)*$V$76</f>
        <v>#DIV/0!</v>
      </c>
      <c r="W78" s="591"/>
      <c r="X78" s="591" t="e">
        <f>IF(P78&gt;0,$X$76,0)</f>
        <v>#DIV/0!</v>
      </c>
      <c r="Y78" s="591">
        <f>IF($K78=0,,($Y$76*$K78))</f>
        <v>0</v>
      </c>
      <c r="Z78" s="591"/>
      <c r="AA78" s="591" t="e">
        <f>O78*$AA$76</f>
        <v>#DIV/0!</v>
      </c>
      <c r="AB78" s="587">
        <f>H78</f>
        <v>0</v>
      </c>
      <c r="AC78" s="599">
        <f>E78</f>
        <v>1097</v>
      </c>
      <c r="AD78" s="587">
        <f>MONTH(AC78)</f>
        <v>1</v>
      </c>
      <c r="AE78" s="599" t="e">
        <f>IF($AB$71=AD78,AC78,"")</f>
        <v>#DIV/0!</v>
      </c>
      <c r="AF78" s="587" t="e">
        <f>IF(AF68&gt;=1,AF68+1,IF(P78&gt;=0.9,1,0))</f>
        <v>#DIV/0!</v>
      </c>
      <c r="AG78" s="600">
        <f>E78</f>
        <v>1097</v>
      </c>
    </row>
    <row r="79" spans="5:33" s="585" customFormat="1" ht="15.75">
      <c r="E79" s="596">
        <f>EDATE(E78,1)</f>
        <v>1128</v>
      </c>
      <c r="F79" s="601"/>
      <c r="G79" s="483"/>
      <c r="H79" s="587">
        <f>H78+G79</f>
        <v>0</v>
      </c>
      <c r="I79" s="598" t="e">
        <f t="shared" ref="I79:I89" si="67">H79/$AA$6</f>
        <v>#DIV/0!</v>
      </c>
      <c r="J79" s="587">
        <f t="shared" ref="J79:J89" si="68">L79+N79</f>
        <v>0</v>
      </c>
      <c r="K79" s="587">
        <f>K78+J79</f>
        <v>0</v>
      </c>
      <c r="L79" s="483"/>
      <c r="M79" s="587">
        <f>M78+L79</f>
        <v>0</v>
      </c>
      <c r="N79" s="483"/>
      <c r="O79" s="587">
        <f>O78+N79</f>
        <v>0</v>
      </c>
      <c r="P79" s="598" t="e">
        <f t="shared" ref="P79:P89" si="69">O79/$AA$6</f>
        <v>#DIV/0!</v>
      </c>
      <c r="Q79" s="591" t="e">
        <f t="shared" ref="Q79:Q89" si="70">ROUND(O79*$Q$76,0)</f>
        <v>#DIV/0!</v>
      </c>
      <c r="R79" s="591"/>
      <c r="S79" s="591"/>
      <c r="T79" s="591"/>
      <c r="U79" s="591"/>
      <c r="V79" s="591" t="e">
        <f t="shared" si="66"/>
        <v>#DIV/0!</v>
      </c>
      <c r="W79" s="591"/>
      <c r="X79" s="591" t="e">
        <f t="shared" ref="X79:X89" si="71">IF(P79&gt;0,$X$76,0)</f>
        <v>#DIV/0!</v>
      </c>
      <c r="Y79" s="591">
        <f t="shared" ref="Y79:Y89" si="72">IF($K79=0,,($Y$76*$K79))</f>
        <v>0</v>
      </c>
      <c r="Z79" s="591"/>
      <c r="AA79" s="591" t="e">
        <f t="shared" ref="AA79:AA89" si="73">O79*$AA$76</f>
        <v>#DIV/0!</v>
      </c>
      <c r="AB79" s="587">
        <f t="shared" ref="AB79:AB89" si="74">H79</f>
        <v>0</v>
      </c>
      <c r="AC79" s="599">
        <f t="shared" ref="AC79:AC89" si="75">E79</f>
        <v>1128</v>
      </c>
      <c r="AD79" s="587">
        <f t="shared" ref="AD79:AD89" si="76">MONTH(AC79)</f>
        <v>2</v>
      </c>
      <c r="AE79" s="599" t="e">
        <f>IF($AB$50=AD79,AC79,"")</f>
        <v>#DIV/0!</v>
      </c>
      <c r="AF79" s="587" t="e">
        <f>IF(AF78&gt;=1,AF78+1,IF(P79&gt;=0.9,1,0))</f>
        <v>#DIV/0!</v>
      </c>
      <c r="AG79" s="600">
        <f t="shared" ref="AG79:AG89" si="77">E79</f>
        <v>1128</v>
      </c>
    </row>
    <row r="80" spans="5:33" s="585" customFormat="1" ht="15.75">
      <c r="E80" s="596">
        <f t="shared" ref="E80:E89" si="78">EDATE(E79,1)</f>
        <v>1156</v>
      </c>
      <c r="F80" s="601"/>
      <c r="G80" s="483"/>
      <c r="H80" s="587">
        <f t="shared" ref="H80:H89" si="79">H79+G80</f>
        <v>0</v>
      </c>
      <c r="I80" s="598" t="e">
        <f t="shared" si="67"/>
        <v>#DIV/0!</v>
      </c>
      <c r="J80" s="587">
        <f t="shared" si="68"/>
        <v>0</v>
      </c>
      <c r="K80" s="587">
        <f t="shared" ref="K80:K89" si="80">K79+J80</f>
        <v>0</v>
      </c>
      <c r="L80" s="483"/>
      <c r="M80" s="587">
        <f t="shared" ref="M80:M89" si="81">M79+L80</f>
        <v>0</v>
      </c>
      <c r="N80" s="483"/>
      <c r="O80" s="587">
        <f t="shared" ref="O80:O89" si="82">O79+N80</f>
        <v>0</v>
      </c>
      <c r="P80" s="598" t="e">
        <f t="shared" si="69"/>
        <v>#DIV/0!</v>
      </c>
      <c r="Q80" s="591" t="e">
        <f t="shared" si="70"/>
        <v>#DIV/0!</v>
      </c>
      <c r="R80" s="591"/>
      <c r="S80" s="591"/>
      <c r="T80" s="591"/>
      <c r="U80" s="591"/>
      <c r="V80" s="591" t="e">
        <f t="shared" si="66"/>
        <v>#DIV/0!</v>
      </c>
      <c r="W80" s="591"/>
      <c r="X80" s="591" t="e">
        <f t="shared" si="71"/>
        <v>#DIV/0!</v>
      </c>
      <c r="Y80" s="591">
        <f t="shared" si="72"/>
        <v>0</v>
      </c>
      <c r="Z80" s="591"/>
      <c r="AA80" s="591" t="e">
        <f t="shared" si="73"/>
        <v>#DIV/0!</v>
      </c>
      <c r="AB80" s="587">
        <f t="shared" si="74"/>
        <v>0</v>
      </c>
      <c r="AC80" s="599">
        <f t="shared" si="75"/>
        <v>1156</v>
      </c>
      <c r="AD80" s="587">
        <f t="shared" si="76"/>
        <v>3</v>
      </c>
      <c r="AE80" s="599" t="e">
        <f t="shared" ref="AE80:AE89" si="83">IF($AB$50=AD80,AC80,"")</f>
        <v>#DIV/0!</v>
      </c>
      <c r="AF80" s="587" t="e">
        <f t="shared" ref="AF80:AF89" si="84">IF(AF79&gt;=1,AF79+1,IF(P80&gt;=0.9,1,0))</f>
        <v>#DIV/0!</v>
      </c>
      <c r="AG80" s="600">
        <f t="shared" si="77"/>
        <v>1156</v>
      </c>
    </row>
    <row r="81" spans="5:33" s="585" customFormat="1" ht="15.75">
      <c r="E81" s="596">
        <f t="shared" si="78"/>
        <v>1187</v>
      </c>
      <c r="F81" s="601"/>
      <c r="G81" s="483"/>
      <c r="H81" s="587">
        <f t="shared" si="79"/>
        <v>0</v>
      </c>
      <c r="I81" s="598" t="e">
        <f t="shared" si="67"/>
        <v>#DIV/0!</v>
      </c>
      <c r="J81" s="587">
        <f t="shared" si="68"/>
        <v>0</v>
      </c>
      <c r="K81" s="587">
        <f t="shared" si="80"/>
        <v>0</v>
      </c>
      <c r="L81" s="483"/>
      <c r="M81" s="587">
        <f t="shared" si="81"/>
        <v>0</v>
      </c>
      <c r="N81" s="483"/>
      <c r="O81" s="587">
        <f t="shared" si="82"/>
        <v>0</v>
      </c>
      <c r="P81" s="598" t="e">
        <f t="shared" si="69"/>
        <v>#DIV/0!</v>
      </c>
      <c r="Q81" s="591" t="e">
        <f t="shared" si="70"/>
        <v>#DIV/0!</v>
      </c>
      <c r="R81" s="591"/>
      <c r="S81" s="591"/>
      <c r="T81" s="591"/>
      <c r="U81" s="591"/>
      <c r="V81" s="591" t="e">
        <f t="shared" si="66"/>
        <v>#DIV/0!</v>
      </c>
      <c r="W81" s="591"/>
      <c r="X81" s="591" t="e">
        <f t="shared" si="71"/>
        <v>#DIV/0!</v>
      </c>
      <c r="Y81" s="591">
        <f t="shared" si="72"/>
        <v>0</v>
      </c>
      <c r="Z81" s="591"/>
      <c r="AA81" s="591" t="e">
        <f t="shared" si="73"/>
        <v>#DIV/0!</v>
      </c>
      <c r="AB81" s="587">
        <f t="shared" si="74"/>
        <v>0</v>
      </c>
      <c r="AC81" s="599">
        <f t="shared" si="75"/>
        <v>1187</v>
      </c>
      <c r="AD81" s="587">
        <f t="shared" si="76"/>
        <v>4</v>
      </c>
      <c r="AE81" s="599" t="e">
        <f t="shared" si="83"/>
        <v>#DIV/0!</v>
      </c>
      <c r="AF81" s="587" t="e">
        <f t="shared" si="84"/>
        <v>#DIV/0!</v>
      </c>
      <c r="AG81" s="600">
        <f t="shared" si="77"/>
        <v>1187</v>
      </c>
    </row>
    <row r="82" spans="5:33" s="585" customFormat="1" ht="15.75">
      <c r="E82" s="596">
        <f t="shared" si="78"/>
        <v>1217</v>
      </c>
      <c r="F82" s="601"/>
      <c r="G82" s="483"/>
      <c r="H82" s="587">
        <f t="shared" si="79"/>
        <v>0</v>
      </c>
      <c r="I82" s="598" t="e">
        <f t="shared" si="67"/>
        <v>#DIV/0!</v>
      </c>
      <c r="J82" s="587">
        <f t="shared" si="68"/>
        <v>0</v>
      </c>
      <c r="K82" s="587">
        <f t="shared" si="80"/>
        <v>0</v>
      </c>
      <c r="L82" s="483"/>
      <c r="M82" s="587">
        <f t="shared" si="81"/>
        <v>0</v>
      </c>
      <c r="N82" s="483"/>
      <c r="O82" s="587">
        <f t="shared" si="82"/>
        <v>0</v>
      </c>
      <c r="P82" s="598" t="e">
        <f t="shared" si="69"/>
        <v>#DIV/0!</v>
      </c>
      <c r="Q82" s="591" t="e">
        <f t="shared" si="70"/>
        <v>#DIV/0!</v>
      </c>
      <c r="R82" s="591"/>
      <c r="S82" s="591"/>
      <c r="T82" s="591"/>
      <c r="U82" s="591"/>
      <c r="V82" s="591" t="e">
        <f t="shared" si="66"/>
        <v>#DIV/0!</v>
      </c>
      <c r="W82" s="591"/>
      <c r="X82" s="591" t="e">
        <f t="shared" si="71"/>
        <v>#DIV/0!</v>
      </c>
      <c r="Y82" s="591">
        <f t="shared" si="72"/>
        <v>0</v>
      </c>
      <c r="Z82" s="591"/>
      <c r="AA82" s="591" t="e">
        <f t="shared" si="73"/>
        <v>#DIV/0!</v>
      </c>
      <c r="AB82" s="587">
        <f t="shared" si="74"/>
        <v>0</v>
      </c>
      <c r="AC82" s="599">
        <f t="shared" si="75"/>
        <v>1217</v>
      </c>
      <c r="AD82" s="587">
        <f t="shared" si="76"/>
        <v>5</v>
      </c>
      <c r="AE82" s="599" t="e">
        <f t="shared" si="83"/>
        <v>#DIV/0!</v>
      </c>
      <c r="AF82" s="587" t="e">
        <f t="shared" si="84"/>
        <v>#DIV/0!</v>
      </c>
      <c r="AG82" s="600">
        <f t="shared" si="77"/>
        <v>1217</v>
      </c>
    </row>
    <row r="83" spans="5:33" s="585" customFormat="1" ht="15.75">
      <c r="E83" s="596">
        <f t="shared" si="78"/>
        <v>1248</v>
      </c>
      <c r="F83" s="601"/>
      <c r="G83" s="483"/>
      <c r="H83" s="587">
        <f t="shared" si="79"/>
        <v>0</v>
      </c>
      <c r="I83" s="598" t="e">
        <f t="shared" si="67"/>
        <v>#DIV/0!</v>
      </c>
      <c r="J83" s="587">
        <f t="shared" si="68"/>
        <v>0</v>
      </c>
      <c r="K83" s="587">
        <f t="shared" si="80"/>
        <v>0</v>
      </c>
      <c r="L83" s="483"/>
      <c r="M83" s="587">
        <f t="shared" si="81"/>
        <v>0</v>
      </c>
      <c r="N83" s="483"/>
      <c r="O83" s="587">
        <f t="shared" si="82"/>
        <v>0</v>
      </c>
      <c r="P83" s="598" t="e">
        <f t="shared" si="69"/>
        <v>#DIV/0!</v>
      </c>
      <c r="Q83" s="591" t="e">
        <f t="shared" si="70"/>
        <v>#DIV/0!</v>
      </c>
      <c r="R83" s="591"/>
      <c r="S83" s="591"/>
      <c r="T83" s="591"/>
      <c r="U83" s="591"/>
      <c r="V83" s="591" t="e">
        <f t="shared" si="66"/>
        <v>#DIV/0!</v>
      </c>
      <c r="W83" s="591"/>
      <c r="X83" s="591" t="e">
        <f t="shared" si="71"/>
        <v>#DIV/0!</v>
      </c>
      <c r="Y83" s="591">
        <f t="shared" si="72"/>
        <v>0</v>
      </c>
      <c r="Z83" s="591"/>
      <c r="AA83" s="591" t="e">
        <f t="shared" si="73"/>
        <v>#DIV/0!</v>
      </c>
      <c r="AB83" s="587">
        <f t="shared" si="74"/>
        <v>0</v>
      </c>
      <c r="AC83" s="599">
        <f t="shared" si="75"/>
        <v>1248</v>
      </c>
      <c r="AD83" s="587">
        <f t="shared" si="76"/>
        <v>6</v>
      </c>
      <c r="AE83" s="599" t="e">
        <f t="shared" si="83"/>
        <v>#DIV/0!</v>
      </c>
      <c r="AF83" s="587" t="e">
        <f t="shared" si="84"/>
        <v>#DIV/0!</v>
      </c>
      <c r="AG83" s="600">
        <f t="shared" si="77"/>
        <v>1248</v>
      </c>
    </row>
    <row r="84" spans="5:33" s="585" customFormat="1" ht="15.75">
      <c r="E84" s="596">
        <f t="shared" si="78"/>
        <v>1278</v>
      </c>
      <c r="F84" s="601"/>
      <c r="G84" s="483"/>
      <c r="H84" s="587">
        <f t="shared" si="79"/>
        <v>0</v>
      </c>
      <c r="I84" s="598" t="e">
        <f t="shared" si="67"/>
        <v>#DIV/0!</v>
      </c>
      <c r="J84" s="587">
        <f t="shared" si="68"/>
        <v>0</v>
      </c>
      <c r="K84" s="587">
        <f t="shared" si="80"/>
        <v>0</v>
      </c>
      <c r="L84" s="483"/>
      <c r="M84" s="587">
        <f t="shared" si="81"/>
        <v>0</v>
      </c>
      <c r="N84" s="483"/>
      <c r="O84" s="587">
        <f t="shared" si="82"/>
        <v>0</v>
      </c>
      <c r="P84" s="598" t="e">
        <f t="shared" si="69"/>
        <v>#DIV/0!</v>
      </c>
      <c r="Q84" s="591" t="e">
        <f t="shared" si="70"/>
        <v>#DIV/0!</v>
      </c>
      <c r="R84" s="591"/>
      <c r="S84" s="591"/>
      <c r="T84" s="591"/>
      <c r="U84" s="591"/>
      <c r="V84" s="591" t="e">
        <f t="shared" si="66"/>
        <v>#DIV/0!</v>
      </c>
      <c r="W84" s="591"/>
      <c r="X84" s="591" t="e">
        <f t="shared" si="71"/>
        <v>#DIV/0!</v>
      </c>
      <c r="Y84" s="591">
        <f t="shared" si="72"/>
        <v>0</v>
      </c>
      <c r="Z84" s="591"/>
      <c r="AA84" s="591" t="e">
        <f t="shared" si="73"/>
        <v>#DIV/0!</v>
      </c>
      <c r="AB84" s="587">
        <f t="shared" si="74"/>
        <v>0</v>
      </c>
      <c r="AC84" s="599">
        <f t="shared" si="75"/>
        <v>1278</v>
      </c>
      <c r="AD84" s="587">
        <f t="shared" si="76"/>
        <v>7</v>
      </c>
      <c r="AE84" s="599" t="e">
        <f t="shared" si="83"/>
        <v>#DIV/0!</v>
      </c>
      <c r="AF84" s="587" t="e">
        <f t="shared" si="84"/>
        <v>#DIV/0!</v>
      </c>
      <c r="AG84" s="600">
        <f t="shared" si="77"/>
        <v>1278</v>
      </c>
    </row>
    <row r="85" spans="5:33" s="585" customFormat="1" ht="15.75">
      <c r="E85" s="596">
        <f t="shared" si="78"/>
        <v>1309</v>
      </c>
      <c r="F85" s="601"/>
      <c r="G85" s="483"/>
      <c r="H85" s="587">
        <f t="shared" si="79"/>
        <v>0</v>
      </c>
      <c r="I85" s="598" t="e">
        <f t="shared" si="67"/>
        <v>#DIV/0!</v>
      </c>
      <c r="J85" s="587">
        <f t="shared" si="68"/>
        <v>0</v>
      </c>
      <c r="K85" s="587">
        <f t="shared" si="80"/>
        <v>0</v>
      </c>
      <c r="L85" s="483"/>
      <c r="M85" s="587">
        <f t="shared" si="81"/>
        <v>0</v>
      </c>
      <c r="N85" s="483"/>
      <c r="O85" s="587">
        <f t="shared" si="82"/>
        <v>0</v>
      </c>
      <c r="P85" s="598" t="e">
        <f t="shared" si="69"/>
        <v>#DIV/0!</v>
      </c>
      <c r="Q85" s="591" t="e">
        <f t="shared" si="70"/>
        <v>#DIV/0!</v>
      </c>
      <c r="R85" s="591"/>
      <c r="S85" s="591"/>
      <c r="T85" s="591"/>
      <c r="U85" s="591"/>
      <c r="V85" s="591" t="e">
        <f t="shared" si="66"/>
        <v>#DIV/0!</v>
      </c>
      <c r="W85" s="591"/>
      <c r="X85" s="591" t="e">
        <f t="shared" si="71"/>
        <v>#DIV/0!</v>
      </c>
      <c r="Y85" s="591">
        <f t="shared" si="72"/>
        <v>0</v>
      </c>
      <c r="Z85" s="591"/>
      <c r="AA85" s="591" t="e">
        <f t="shared" si="73"/>
        <v>#DIV/0!</v>
      </c>
      <c r="AB85" s="587">
        <f t="shared" si="74"/>
        <v>0</v>
      </c>
      <c r="AC85" s="599">
        <f t="shared" si="75"/>
        <v>1309</v>
      </c>
      <c r="AD85" s="587">
        <f t="shared" si="76"/>
        <v>8</v>
      </c>
      <c r="AE85" s="599" t="e">
        <f t="shared" si="83"/>
        <v>#DIV/0!</v>
      </c>
      <c r="AF85" s="587" t="e">
        <f t="shared" si="84"/>
        <v>#DIV/0!</v>
      </c>
      <c r="AG85" s="600">
        <f t="shared" si="77"/>
        <v>1309</v>
      </c>
    </row>
    <row r="86" spans="5:33" s="585" customFormat="1" ht="15.75">
      <c r="E86" s="596">
        <f t="shared" si="78"/>
        <v>1340</v>
      </c>
      <c r="F86" s="601"/>
      <c r="G86" s="483"/>
      <c r="H86" s="587">
        <f t="shared" si="79"/>
        <v>0</v>
      </c>
      <c r="I86" s="598" t="e">
        <f t="shared" si="67"/>
        <v>#DIV/0!</v>
      </c>
      <c r="J86" s="587">
        <f t="shared" si="68"/>
        <v>0</v>
      </c>
      <c r="K86" s="587">
        <f t="shared" si="80"/>
        <v>0</v>
      </c>
      <c r="L86" s="483"/>
      <c r="M86" s="587">
        <f t="shared" si="81"/>
        <v>0</v>
      </c>
      <c r="N86" s="483"/>
      <c r="O86" s="587">
        <f t="shared" si="82"/>
        <v>0</v>
      </c>
      <c r="P86" s="598" t="e">
        <f t="shared" si="69"/>
        <v>#DIV/0!</v>
      </c>
      <c r="Q86" s="591" t="e">
        <f t="shared" si="70"/>
        <v>#DIV/0!</v>
      </c>
      <c r="R86" s="591"/>
      <c r="S86" s="591"/>
      <c r="T86" s="591"/>
      <c r="U86" s="591"/>
      <c r="V86" s="591" t="e">
        <f t="shared" si="66"/>
        <v>#DIV/0!</v>
      </c>
      <c r="W86" s="591"/>
      <c r="X86" s="591" t="e">
        <f t="shared" si="71"/>
        <v>#DIV/0!</v>
      </c>
      <c r="Y86" s="591">
        <f t="shared" si="72"/>
        <v>0</v>
      </c>
      <c r="Z86" s="591"/>
      <c r="AA86" s="591" t="e">
        <f t="shared" si="73"/>
        <v>#DIV/0!</v>
      </c>
      <c r="AB86" s="587">
        <f t="shared" si="74"/>
        <v>0</v>
      </c>
      <c r="AC86" s="599">
        <f t="shared" si="75"/>
        <v>1340</v>
      </c>
      <c r="AD86" s="587">
        <f t="shared" si="76"/>
        <v>9</v>
      </c>
      <c r="AE86" s="599" t="e">
        <f t="shared" si="83"/>
        <v>#DIV/0!</v>
      </c>
      <c r="AF86" s="587" t="e">
        <f t="shared" si="84"/>
        <v>#DIV/0!</v>
      </c>
      <c r="AG86" s="600">
        <f t="shared" si="77"/>
        <v>1340</v>
      </c>
    </row>
    <row r="87" spans="5:33" s="585" customFormat="1" ht="15.75">
      <c r="E87" s="596">
        <f t="shared" si="78"/>
        <v>1370</v>
      </c>
      <c r="F87" s="601"/>
      <c r="G87" s="483"/>
      <c r="H87" s="587">
        <f t="shared" si="79"/>
        <v>0</v>
      </c>
      <c r="I87" s="598" t="e">
        <f t="shared" si="67"/>
        <v>#DIV/0!</v>
      </c>
      <c r="J87" s="587">
        <f t="shared" si="68"/>
        <v>0</v>
      </c>
      <c r="K87" s="587">
        <f t="shared" si="80"/>
        <v>0</v>
      </c>
      <c r="L87" s="483"/>
      <c r="M87" s="587">
        <f t="shared" si="81"/>
        <v>0</v>
      </c>
      <c r="N87" s="483"/>
      <c r="O87" s="587">
        <f t="shared" si="82"/>
        <v>0</v>
      </c>
      <c r="P87" s="598" t="e">
        <f t="shared" si="69"/>
        <v>#DIV/0!</v>
      </c>
      <c r="Q87" s="591" t="e">
        <f t="shared" si="70"/>
        <v>#DIV/0!</v>
      </c>
      <c r="R87" s="591"/>
      <c r="S87" s="591"/>
      <c r="T87" s="591"/>
      <c r="U87" s="591"/>
      <c r="V87" s="591" t="e">
        <f t="shared" si="66"/>
        <v>#DIV/0!</v>
      </c>
      <c r="W87" s="591"/>
      <c r="X87" s="591" t="e">
        <f t="shared" si="71"/>
        <v>#DIV/0!</v>
      </c>
      <c r="Y87" s="591">
        <f t="shared" si="72"/>
        <v>0</v>
      </c>
      <c r="Z87" s="591"/>
      <c r="AA87" s="591" t="e">
        <f t="shared" si="73"/>
        <v>#DIV/0!</v>
      </c>
      <c r="AB87" s="587">
        <f t="shared" si="74"/>
        <v>0</v>
      </c>
      <c r="AC87" s="599">
        <f t="shared" si="75"/>
        <v>1370</v>
      </c>
      <c r="AD87" s="587">
        <f t="shared" si="76"/>
        <v>10</v>
      </c>
      <c r="AE87" s="599" t="e">
        <f t="shared" si="83"/>
        <v>#DIV/0!</v>
      </c>
      <c r="AF87" s="587" t="e">
        <f t="shared" si="84"/>
        <v>#DIV/0!</v>
      </c>
      <c r="AG87" s="600">
        <f t="shared" si="77"/>
        <v>1370</v>
      </c>
    </row>
    <row r="88" spans="5:33" s="585" customFormat="1" ht="15.75">
      <c r="E88" s="596">
        <f t="shared" si="78"/>
        <v>1401</v>
      </c>
      <c r="F88" s="601"/>
      <c r="G88" s="483"/>
      <c r="H88" s="587">
        <f t="shared" si="79"/>
        <v>0</v>
      </c>
      <c r="I88" s="598" t="e">
        <f t="shared" si="67"/>
        <v>#DIV/0!</v>
      </c>
      <c r="J88" s="587">
        <f t="shared" si="68"/>
        <v>0</v>
      </c>
      <c r="K88" s="587">
        <f t="shared" si="80"/>
        <v>0</v>
      </c>
      <c r="L88" s="483"/>
      <c r="M88" s="587">
        <f t="shared" si="81"/>
        <v>0</v>
      </c>
      <c r="N88" s="483"/>
      <c r="O88" s="587">
        <f t="shared" si="82"/>
        <v>0</v>
      </c>
      <c r="P88" s="598" t="e">
        <f t="shared" si="69"/>
        <v>#DIV/0!</v>
      </c>
      <c r="Q88" s="591" t="e">
        <f t="shared" si="70"/>
        <v>#DIV/0!</v>
      </c>
      <c r="R88" s="591"/>
      <c r="S88" s="591"/>
      <c r="T88" s="591"/>
      <c r="U88" s="591"/>
      <c r="V88" s="591" t="e">
        <f t="shared" si="66"/>
        <v>#DIV/0!</v>
      </c>
      <c r="W88" s="591"/>
      <c r="X88" s="591" t="e">
        <f t="shared" si="71"/>
        <v>#DIV/0!</v>
      </c>
      <c r="Y88" s="591">
        <f t="shared" si="72"/>
        <v>0</v>
      </c>
      <c r="Z88" s="591"/>
      <c r="AA88" s="591" t="e">
        <f t="shared" si="73"/>
        <v>#DIV/0!</v>
      </c>
      <c r="AB88" s="587">
        <f t="shared" si="74"/>
        <v>0</v>
      </c>
      <c r="AC88" s="599">
        <f t="shared" si="75"/>
        <v>1401</v>
      </c>
      <c r="AD88" s="587">
        <f t="shared" si="76"/>
        <v>11</v>
      </c>
      <c r="AE88" s="599" t="e">
        <f t="shared" si="83"/>
        <v>#DIV/0!</v>
      </c>
      <c r="AF88" s="587" t="e">
        <f t="shared" si="84"/>
        <v>#DIV/0!</v>
      </c>
      <c r="AG88" s="600">
        <f t="shared" si="77"/>
        <v>1401</v>
      </c>
    </row>
    <row r="89" spans="5:33" s="585" customFormat="1" ht="15.75">
      <c r="E89" s="596">
        <f t="shared" si="78"/>
        <v>1431</v>
      </c>
      <c r="F89" s="601"/>
      <c r="G89" s="483"/>
      <c r="H89" s="587">
        <f t="shared" si="79"/>
        <v>0</v>
      </c>
      <c r="I89" s="598" t="e">
        <f t="shared" si="67"/>
        <v>#DIV/0!</v>
      </c>
      <c r="J89" s="587">
        <f t="shared" si="68"/>
        <v>0</v>
      </c>
      <c r="K89" s="587">
        <f t="shared" si="80"/>
        <v>0</v>
      </c>
      <c r="L89" s="483"/>
      <c r="M89" s="587">
        <f t="shared" si="81"/>
        <v>0</v>
      </c>
      <c r="N89" s="483"/>
      <c r="O89" s="587">
        <f t="shared" si="82"/>
        <v>0</v>
      </c>
      <c r="P89" s="598" t="e">
        <f t="shared" si="69"/>
        <v>#DIV/0!</v>
      </c>
      <c r="Q89" s="591" t="e">
        <f t="shared" si="70"/>
        <v>#DIV/0!</v>
      </c>
      <c r="R89" s="591"/>
      <c r="S89" s="591"/>
      <c r="T89" s="591"/>
      <c r="U89" s="591"/>
      <c r="V89" s="591" t="e">
        <f t="shared" si="66"/>
        <v>#DIV/0!</v>
      </c>
      <c r="W89" s="591"/>
      <c r="X89" s="591" t="e">
        <f t="shared" si="71"/>
        <v>#DIV/0!</v>
      </c>
      <c r="Y89" s="591">
        <f t="shared" si="72"/>
        <v>0</v>
      </c>
      <c r="Z89" s="591"/>
      <c r="AA89" s="591" t="e">
        <f t="shared" si="73"/>
        <v>#DIV/0!</v>
      </c>
      <c r="AB89" s="587">
        <f t="shared" si="74"/>
        <v>0</v>
      </c>
      <c r="AC89" s="599">
        <f t="shared" si="75"/>
        <v>1431</v>
      </c>
      <c r="AD89" s="587">
        <f t="shared" si="76"/>
        <v>12</v>
      </c>
      <c r="AE89" s="599" t="e">
        <f t="shared" si="83"/>
        <v>#DIV/0!</v>
      </c>
      <c r="AF89" s="587" t="e">
        <f t="shared" si="84"/>
        <v>#DIV/0!</v>
      </c>
      <c r="AG89" s="600">
        <f t="shared" si="77"/>
        <v>1431</v>
      </c>
    </row>
    <row r="90" spans="5:33" s="585" customFormat="1" ht="15.75">
      <c r="E90" s="585" t="s">
        <v>250</v>
      </c>
      <c r="G90" s="587"/>
      <c r="H90" s="587"/>
      <c r="I90" s="587"/>
      <c r="J90" s="587"/>
      <c r="K90" s="587"/>
      <c r="L90" s="587"/>
      <c r="M90" s="587"/>
      <c r="N90" s="587"/>
      <c r="O90" s="587"/>
      <c r="P90" s="587"/>
      <c r="Q90" s="591"/>
      <c r="R90" s="591"/>
      <c r="S90" s="591"/>
      <c r="T90" s="591"/>
      <c r="U90" s="591"/>
      <c r="V90" s="591"/>
      <c r="W90" s="591"/>
      <c r="X90" s="591"/>
      <c r="Y90" s="591"/>
      <c r="Z90" s="591"/>
      <c r="AA90" s="591"/>
      <c r="AB90" s="587"/>
      <c r="AC90" s="587"/>
      <c r="AD90" s="587"/>
      <c r="AE90" s="599"/>
      <c r="AF90" s="587"/>
      <c r="AG90" s="587"/>
    </row>
    <row r="91" spans="5:33" s="585" customFormat="1" ht="16.5" thickBot="1">
      <c r="E91" s="611" t="e">
        <f>IF(P6/H68=1,"",IF(AB92=0,"",AC91))</f>
        <v>#DIV/0!</v>
      </c>
      <c r="G91" s="603">
        <f>SUM(G78:G89)</f>
        <v>0</v>
      </c>
      <c r="H91" s="603"/>
      <c r="I91" s="603"/>
      <c r="J91" s="603">
        <f>SUM(J78:J89)</f>
        <v>0</v>
      </c>
      <c r="K91" s="603"/>
      <c r="L91" s="603">
        <f>SUM(L78:L89)</f>
        <v>0</v>
      </c>
      <c r="M91" s="603"/>
      <c r="N91" s="603">
        <f>SUM(N78:N89)</f>
        <v>0</v>
      </c>
      <c r="O91" s="603"/>
      <c r="P91" s="603"/>
      <c r="Q91" s="604" t="e">
        <f t="shared" ref="Q91:AA91" si="85">SUM(Q78:Q89)</f>
        <v>#DIV/0!</v>
      </c>
      <c r="R91" s="604">
        <f t="shared" si="85"/>
        <v>0</v>
      </c>
      <c r="S91" s="604">
        <f t="shared" si="85"/>
        <v>0</v>
      </c>
      <c r="T91" s="604">
        <f t="shared" si="85"/>
        <v>0</v>
      </c>
      <c r="U91" s="604">
        <f t="shared" si="85"/>
        <v>0</v>
      </c>
      <c r="V91" s="604" t="e">
        <f t="shared" si="85"/>
        <v>#DIV/0!</v>
      </c>
      <c r="W91" s="604">
        <f t="shared" si="85"/>
        <v>0</v>
      </c>
      <c r="X91" s="604" t="e">
        <f t="shared" si="85"/>
        <v>#DIV/0!</v>
      </c>
      <c r="Y91" s="604">
        <f t="shared" si="85"/>
        <v>0</v>
      </c>
      <c r="Z91" s="604">
        <f t="shared" si="85"/>
        <v>0</v>
      </c>
      <c r="AA91" s="604" t="e">
        <f t="shared" si="85"/>
        <v>#DIV/0!</v>
      </c>
      <c r="AB91" s="587">
        <f>SUM(AB78:AB89)/12</f>
        <v>0</v>
      </c>
      <c r="AC91" s="599" t="e">
        <f>MAX(AE78:AE89)</f>
        <v>#DIV/0!</v>
      </c>
      <c r="AD91" s="587"/>
      <c r="AE91" s="599"/>
      <c r="AF91" s="587"/>
      <c r="AG91" s="587"/>
    </row>
    <row r="92" spans="5:33" s="585" customFormat="1" ht="16.5" thickTop="1">
      <c r="AB92" s="587" t="e">
        <f>ROUND(13-(AB91/H89*12),0)</f>
        <v>#DIV/0!</v>
      </c>
      <c r="AE92" s="599"/>
    </row>
    <row r="93" spans="5:33" s="585" customFormat="1" ht="15.75">
      <c r="H93" s="587" t="s">
        <v>998</v>
      </c>
      <c r="J93" s="605" t="e">
        <f>K89/$AA$6</f>
        <v>#DIV/0!</v>
      </c>
      <c r="N93" s="585" t="str">
        <f>IF(SUM(N78:N89)&gt;0,AVERAGE(N78:N89),"")</f>
        <v/>
      </c>
    </row>
    <row r="94" spans="5:33" s="291" customFormat="1">
      <c r="J94" s="291" t="s">
        <v>999</v>
      </c>
    </row>
    <row r="95" spans="5:33" s="291" customFormat="1"/>
  </sheetData>
  <mergeCells count="4">
    <mergeCell ref="E1:AA1"/>
    <mergeCell ref="E2:AA2"/>
    <mergeCell ref="E3:AA3"/>
    <mergeCell ref="AK38:AQ38"/>
  </mergeCells>
  <conditionalFormatting sqref="AK23:AK36">
    <cfRule type="cellIs" dxfId="1" priority="2" stopIfTrue="1" operator="equal">
      <formula>$C$7</formula>
    </cfRule>
  </conditionalFormatting>
  <conditionalFormatting sqref="AK18:AK22">
    <cfRule type="cellIs" dxfId="0" priority="1" stopIfTrue="1" operator="equal">
      <formula>$C$7</formula>
    </cfRule>
  </conditionalFormatting>
  <pageMargins left="1" right="1" top="1" bottom="1" header="0.5" footer="0.5"/>
  <pageSetup scale="53" orientation="portrait" horizontalDpi="200" verticalDpi="200" r:id="rId1"/>
  <headerFooter>
    <oddFooter>&amp;LPRIVELEGED AND CONFIDENTIAL&amp;R&amp;G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353B-944B-4C7E-83E2-7CDAE42628EB}">
  <sheetPr>
    <tabColor rgb="FFFF0000"/>
  </sheetPr>
  <dimension ref="A1:Z73"/>
  <sheetViews>
    <sheetView showGridLines="0" zoomScale="85" zoomScaleNormal="85" zoomScaleSheetLayoutView="43" zoomScalePageLayoutView="44" workbookViewId="0">
      <selection activeCell="E8" sqref="E8"/>
    </sheetView>
  </sheetViews>
  <sheetFormatPr defaultColWidth="14.85546875" defaultRowHeight="15.75"/>
  <cols>
    <col min="1" max="1" width="25.140625" style="2" bestFit="1" customWidth="1"/>
    <col min="2" max="2" width="15.85546875" style="2" bestFit="1" customWidth="1"/>
    <col min="3" max="3" width="18.5703125" style="2" customWidth="1"/>
    <col min="4" max="4" width="13.85546875" style="2" customWidth="1"/>
    <col min="5" max="5" width="6.140625" style="2" customWidth="1"/>
    <col min="6" max="6" width="12.85546875" style="2" bestFit="1" customWidth="1"/>
    <col min="7" max="7" width="12.5703125" style="2" customWidth="1"/>
    <col min="8" max="8" width="10.42578125" style="2" customWidth="1"/>
    <col min="9" max="9" width="12" style="2" customWidth="1"/>
    <col min="10" max="10" width="12.5703125" style="2" customWidth="1"/>
    <col min="11" max="11" width="13.140625" style="2" customWidth="1"/>
    <col min="12" max="12" width="15.85546875" style="2" customWidth="1"/>
    <col min="13" max="13" width="25.140625" style="59" bestFit="1" customWidth="1"/>
    <col min="14" max="14" width="15.85546875" style="2" bestFit="1" customWidth="1"/>
    <col min="15" max="15" width="1.85546875" style="2" customWidth="1"/>
    <col min="16" max="16" width="4.5703125" style="2" customWidth="1"/>
    <col min="17" max="17" width="16.85546875" style="2" bestFit="1" customWidth="1"/>
    <col min="18" max="18" width="11.85546875" style="58" customWidth="1"/>
    <col min="19" max="19" width="16.140625" style="2" customWidth="1"/>
    <col min="20" max="20" width="8.140625" style="2" hidden="1" customWidth="1"/>
    <col min="21" max="21" width="0" style="2" hidden="1" customWidth="1"/>
    <col min="22" max="22" width="17.140625" style="2" hidden="1" customWidth="1"/>
    <col min="23" max="23" width="0" style="2" hidden="1" customWidth="1"/>
    <col min="24" max="16384" width="14.85546875" style="2"/>
  </cols>
  <sheetData>
    <row r="1" spans="1:26">
      <c r="A1" s="110" t="s">
        <v>1022</v>
      </c>
      <c r="B1" s="124" cm="1">
        <f t="array" ref="B1:C1">'LIHTC Exec Summary'!E5:F5</f>
        <v>0</v>
      </c>
      <c r="C1" s="128">
        <v>0</v>
      </c>
      <c r="D1"/>
      <c r="E1"/>
      <c r="F1"/>
      <c r="G1"/>
      <c r="H1"/>
      <c r="I1"/>
      <c r="J1"/>
      <c r="K1"/>
      <c r="L1"/>
      <c r="O1" s="390"/>
      <c r="P1" s="390"/>
      <c r="Q1"/>
      <c r="R1"/>
      <c r="S1"/>
      <c r="T1"/>
      <c r="U1"/>
      <c r="V1"/>
      <c r="W1"/>
      <c r="X1"/>
      <c r="Y1"/>
      <c r="Z1"/>
    </row>
    <row r="2" spans="1:26">
      <c r="A2" s="1759" t="s">
        <v>1023</v>
      </c>
      <c r="B2" s="1760"/>
      <c r="C2"/>
      <c r="D2"/>
      <c r="E2"/>
      <c r="F2"/>
      <c r="G2"/>
      <c r="H2"/>
      <c r="I2"/>
      <c r="J2"/>
      <c r="K2"/>
      <c r="L2"/>
      <c r="O2" s="6"/>
      <c r="P2" s="6"/>
      <c r="Q2"/>
      <c r="R2"/>
      <c r="S2"/>
      <c r="T2"/>
      <c r="U2"/>
      <c r="V2"/>
      <c r="W2"/>
      <c r="X2"/>
      <c r="Y2"/>
      <c r="Z2"/>
    </row>
    <row r="3" spans="1:26">
      <c r="A3" s="391" t="s">
        <v>1024</v>
      </c>
      <c r="B3" s="392">
        <f>'Warehouse Exec Summary'!F16</f>
        <v>0</v>
      </c>
      <c r="C3"/>
      <c r="D3"/>
      <c r="E3"/>
      <c r="F3"/>
      <c r="G3"/>
      <c r="H3"/>
      <c r="I3"/>
      <c r="J3"/>
      <c r="K3"/>
      <c r="L3"/>
      <c r="O3" s="6"/>
      <c r="P3" s="6"/>
      <c r="Q3"/>
      <c r="R3"/>
      <c r="S3"/>
      <c r="T3"/>
      <c r="U3"/>
      <c r="V3"/>
      <c r="W3"/>
      <c r="X3"/>
      <c r="Y3"/>
      <c r="Z3"/>
    </row>
    <row r="4" spans="1:26">
      <c r="A4" s="118" t="s">
        <v>1025</v>
      </c>
      <c r="B4" s="112">
        <v>0.6</v>
      </c>
      <c r="C4"/>
      <c r="D4"/>
      <c r="E4"/>
      <c r="F4"/>
      <c r="G4"/>
      <c r="H4"/>
      <c r="I4"/>
      <c r="J4"/>
      <c r="K4"/>
      <c r="L4"/>
      <c r="O4" s="6"/>
      <c r="P4" s="6"/>
      <c r="Q4"/>
      <c r="R4"/>
      <c r="S4"/>
      <c r="T4"/>
      <c r="U4"/>
      <c r="V4"/>
      <c r="W4"/>
      <c r="X4"/>
      <c r="Y4"/>
      <c r="Z4"/>
    </row>
    <row r="5" spans="1:26" ht="19.5" customHeight="1">
      <c r="A5" s="119" t="s">
        <v>1026</v>
      </c>
      <c r="B5" s="91">
        <f>B3*B4</f>
        <v>0</v>
      </c>
      <c r="C5"/>
      <c r="D5"/>
      <c r="E5"/>
      <c r="F5"/>
      <c r="G5"/>
      <c r="H5"/>
      <c r="I5"/>
      <c r="J5"/>
      <c r="K5"/>
      <c r="L5"/>
      <c r="O5" s="6"/>
      <c r="P5" s="6"/>
      <c r="Q5"/>
      <c r="R5"/>
      <c r="S5"/>
      <c r="T5"/>
      <c r="U5"/>
      <c r="V5"/>
      <c r="W5"/>
      <c r="X5"/>
      <c r="Y5"/>
      <c r="Z5"/>
    </row>
    <row r="6" spans="1:26" ht="17.25" customHeight="1">
      <c r="A6" s="113"/>
      <c r="B6" s="114"/>
      <c r="C6"/>
      <c r="D6"/>
      <c r="E6"/>
      <c r="F6"/>
      <c r="G6"/>
      <c r="H6"/>
      <c r="I6"/>
      <c r="J6"/>
      <c r="K6"/>
      <c r="L6"/>
      <c r="O6" s="6"/>
      <c r="P6" s="6"/>
      <c r="Q6"/>
      <c r="R6"/>
      <c r="S6"/>
      <c r="T6"/>
      <c r="U6"/>
      <c r="V6"/>
      <c r="W6"/>
      <c r="X6"/>
      <c r="Y6"/>
      <c r="Z6"/>
    </row>
    <row r="7" spans="1:26">
      <c r="A7" s="120" t="s">
        <v>1027</v>
      </c>
      <c r="B7" s="91" t="e">
        <f>'Income &amp; OpEx'!#REF!</f>
        <v>#REF!</v>
      </c>
      <c r="C7"/>
      <c r="D7"/>
      <c r="E7"/>
      <c r="F7"/>
      <c r="G7"/>
      <c r="H7"/>
      <c r="I7"/>
      <c r="J7"/>
      <c r="K7"/>
      <c r="L7"/>
      <c r="O7" s="6"/>
      <c r="P7" s="6"/>
      <c r="Q7"/>
      <c r="R7"/>
      <c r="S7"/>
      <c r="T7"/>
      <c r="U7"/>
      <c r="V7"/>
      <c r="W7"/>
      <c r="X7"/>
      <c r="Y7"/>
      <c r="Z7"/>
    </row>
    <row r="8" spans="1:26" ht="16.5" thickBot="1">
      <c r="A8" s="113"/>
      <c r="B8" s="115"/>
      <c r="C8"/>
      <c r="D8"/>
      <c r="E8"/>
      <c r="F8"/>
      <c r="G8"/>
      <c r="H8"/>
      <c r="I8"/>
      <c r="J8"/>
      <c r="K8"/>
      <c r="L8"/>
      <c r="O8" s="6"/>
      <c r="P8" s="6"/>
      <c r="Q8"/>
      <c r="R8"/>
      <c r="S8"/>
      <c r="T8"/>
      <c r="U8"/>
      <c r="V8"/>
      <c r="W8"/>
      <c r="X8"/>
      <c r="Y8"/>
      <c r="Z8"/>
    </row>
    <row r="9" spans="1:26" ht="16.5" thickBot="1">
      <c r="A9" s="125" t="s">
        <v>1028</v>
      </c>
      <c r="B9" s="126" t="e">
        <f>B7/B5</f>
        <v>#REF!</v>
      </c>
      <c r="C9"/>
      <c r="D9"/>
      <c r="E9"/>
      <c r="F9"/>
      <c r="G9"/>
      <c r="H9"/>
      <c r="I9"/>
      <c r="J9"/>
      <c r="K9"/>
      <c r="L9"/>
      <c r="O9" s="6"/>
      <c r="P9" s="6"/>
      <c r="Q9"/>
      <c r="R9"/>
      <c r="S9"/>
      <c r="T9"/>
      <c r="U9"/>
      <c r="V9"/>
      <c r="W9"/>
      <c r="X9"/>
      <c r="Y9"/>
      <c r="Z9"/>
    </row>
    <row r="10" spans="1:26">
      <c r="A10" s="127"/>
      <c r="B10" s="3"/>
      <c r="C10"/>
      <c r="D10"/>
      <c r="E10"/>
      <c r="F10"/>
      <c r="G10"/>
      <c r="H10"/>
      <c r="I10"/>
      <c r="J10"/>
      <c r="K10"/>
      <c r="L10"/>
      <c r="O10" s="6"/>
      <c r="P10" s="6"/>
      <c r="Q10"/>
      <c r="R10"/>
      <c r="S10"/>
      <c r="T10"/>
      <c r="U10"/>
      <c r="V10"/>
      <c r="W10"/>
      <c r="X10"/>
      <c r="Y10"/>
      <c r="Z10"/>
    </row>
    <row r="11" spans="1:26" ht="17.25" customHeight="1">
      <c r="A11" s="111" t="s">
        <v>1029</v>
      </c>
      <c r="B11" s="121"/>
      <c r="C11"/>
      <c r="D11"/>
      <c r="E11"/>
      <c r="F11"/>
      <c r="G11"/>
      <c r="H11"/>
      <c r="I11"/>
      <c r="J11"/>
      <c r="K11"/>
      <c r="L11"/>
      <c r="O11" s="6"/>
      <c r="P11" s="6"/>
      <c r="Q11"/>
      <c r="R11"/>
      <c r="S11"/>
      <c r="T11"/>
      <c r="U11"/>
      <c r="V11"/>
      <c r="W11"/>
      <c r="X11"/>
      <c r="Y11"/>
      <c r="Z11"/>
    </row>
    <row r="12" spans="1:26" ht="18.75" customHeight="1">
      <c r="A12" s="391" t="s">
        <v>1030</v>
      </c>
      <c r="B12" s="392">
        <f>'Development Costs'!I4</f>
        <v>0</v>
      </c>
      <c r="C12"/>
      <c r="D12"/>
      <c r="E12"/>
      <c r="F12"/>
      <c r="G12"/>
      <c r="H12"/>
      <c r="I12"/>
      <c r="J12"/>
      <c r="K12"/>
      <c r="L12"/>
      <c r="O12" s="6"/>
      <c r="P12" s="6"/>
      <c r="Q12"/>
      <c r="R12"/>
      <c r="S12"/>
      <c r="T12"/>
      <c r="U12"/>
      <c r="V12"/>
      <c r="W12"/>
      <c r="X12"/>
      <c r="Y12"/>
      <c r="Z12"/>
    </row>
    <row r="13" spans="1:26" ht="18.75" customHeight="1">
      <c r="A13" s="118" t="s">
        <v>1031</v>
      </c>
      <c r="B13" s="114">
        <f>-1350*'Unit Mix'!D39</f>
        <v>0</v>
      </c>
      <c r="C13"/>
      <c r="D13"/>
      <c r="E13"/>
      <c r="F13"/>
      <c r="G13"/>
      <c r="H13"/>
      <c r="I13"/>
      <c r="J13"/>
      <c r="K13"/>
      <c r="L13"/>
      <c r="O13" s="6"/>
      <c r="P13" s="6"/>
      <c r="Q13"/>
      <c r="R13"/>
      <c r="S13"/>
      <c r="T13"/>
      <c r="U13"/>
      <c r="V13"/>
      <c r="W13"/>
      <c r="X13"/>
      <c r="Y13"/>
      <c r="Z13"/>
    </row>
    <row r="14" spans="1:26">
      <c r="A14" s="118" t="s">
        <v>1032</v>
      </c>
      <c r="B14" s="115"/>
      <c r="C14"/>
      <c r="D14"/>
      <c r="E14"/>
      <c r="F14"/>
      <c r="G14"/>
      <c r="H14"/>
      <c r="I14"/>
      <c r="J14"/>
      <c r="K14"/>
      <c r="L14"/>
      <c r="O14" s="6"/>
      <c r="P14" s="6"/>
      <c r="Q14"/>
      <c r="R14"/>
      <c r="S14"/>
      <c r="T14"/>
      <c r="U14"/>
      <c r="V14"/>
      <c r="W14"/>
      <c r="X14"/>
      <c r="Y14"/>
      <c r="Z14"/>
    </row>
    <row r="15" spans="1:26" customFormat="1" ht="15.6" customHeight="1">
      <c r="A15" s="120"/>
      <c r="B15" s="115"/>
      <c r="M15" s="59"/>
      <c r="N15" s="2"/>
      <c r="O15" s="6"/>
      <c r="P15" s="6"/>
    </row>
    <row r="16" spans="1:26">
      <c r="A16" s="120" t="s">
        <v>1033</v>
      </c>
      <c r="B16" s="114">
        <f>B12+B13+B14</f>
        <v>0</v>
      </c>
      <c r="C16"/>
      <c r="D16"/>
      <c r="E16"/>
      <c r="F16"/>
      <c r="G16"/>
      <c r="H16"/>
      <c r="I16"/>
      <c r="J16"/>
      <c r="K16"/>
      <c r="L16"/>
      <c r="O16" s="6"/>
      <c r="P16" s="6"/>
      <c r="Q16"/>
      <c r="R16"/>
      <c r="S16"/>
      <c r="T16"/>
      <c r="U16"/>
      <c r="V16"/>
      <c r="W16"/>
      <c r="X16"/>
      <c r="Y16"/>
      <c r="Z16"/>
    </row>
    <row r="17" spans="1:26">
      <c r="A17" s="120"/>
      <c r="B17" s="115"/>
      <c r="C17"/>
      <c r="D17"/>
      <c r="E17"/>
      <c r="F17"/>
      <c r="G17"/>
      <c r="H17"/>
      <c r="I17"/>
      <c r="J17"/>
      <c r="K17"/>
      <c r="L17"/>
      <c r="O17" s="6"/>
      <c r="P17" s="6"/>
      <c r="Q17"/>
      <c r="R17"/>
      <c r="S17"/>
      <c r="T17"/>
      <c r="U17"/>
      <c r="V17"/>
      <c r="W17"/>
      <c r="X17"/>
      <c r="Y17"/>
      <c r="Z17"/>
    </row>
    <row r="18" spans="1:26">
      <c r="A18" s="120" t="s">
        <v>1034</v>
      </c>
      <c r="B18" s="112">
        <f>B4</f>
        <v>0.6</v>
      </c>
      <c r="C18"/>
      <c r="D18"/>
      <c r="E18"/>
      <c r="F18"/>
      <c r="G18"/>
      <c r="H18"/>
      <c r="I18"/>
      <c r="J18"/>
      <c r="K18"/>
      <c r="L18"/>
      <c r="O18" s="1"/>
      <c r="P18" s="1"/>
    </row>
    <row r="19" spans="1:26">
      <c r="A19" s="120"/>
      <c r="B19" s="115"/>
      <c r="C19"/>
      <c r="D19"/>
      <c r="E19"/>
      <c r="F19"/>
      <c r="G19"/>
      <c r="H19"/>
      <c r="I19"/>
      <c r="J19"/>
      <c r="K19"/>
      <c r="L19"/>
      <c r="O19" s="1"/>
      <c r="P19" s="1"/>
      <c r="S19" s="44"/>
      <c r="T19" s="44"/>
    </row>
    <row r="20" spans="1:26">
      <c r="A20" s="120" t="s">
        <v>1026</v>
      </c>
      <c r="B20" s="116">
        <f>B16*B18</f>
        <v>0</v>
      </c>
      <c r="C20"/>
      <c r="D20"/>
      <c r="E20"/>
      <c r="F20"/>
      <c r="G20"/>
      <c r="H20"/>
      <c r="I20"/>
      <c r="J20"/>
      <c r="K20"/>
      <c r="L20"/>
      <c r="O20" s="1"/>
      <c r="P20" s="1"/>
      <c r="S20" s="44"/>
      <c r="T20" s="44"/>
    </row>
    <row r="21" spans="1:26">
      <c r="A21" s="120"/>
      <c r="B21" s="115"/>
      <c r="C21"/>
      <c r="D21"/>
      <c r="E21"/>
      <c r="F21"/>
      <c r="G21"/>
      <c r="H21"/>
      <c r="I21"/>
      <c r="J21"/>
      <c r="K21"/>
      <c r="L21"/>
      <c r="O21" s="1"/>
      <c r="P21" s="1"/>
      <c r="S21" s="44"/>
      <c r="T21" s="44"/>
    </row>
    <row r="22" spans="1:26">
      <c r="A22" s="120" t="s">
        <v>1035</v>
      </c>
      <c r="B22" s="117" t="e">
        <f>B9</f>
        <v>#REF!</v>
      </c>
      <c r="C22"/>
      <c r="D22"/>
      <c r="E22"/>
      <c r="F22"/>
      <c r="G22"/>
      <c r="H22"/>
      <c r="I22"/>
      <c r="J22"/>
      <c r="K22"/>
      <c r="L22"/>
      <c r="O22" s="1"/>
      <c r="P22" s="1"/>
      <c r="S22" s="44"/>
      <c r="T22" s="44"/>
    </row>
    <row r="23" spans="1:26" ht="16.5" thickBot="1">
      <c r="A23" s="25"/>
      <c r="B23" s="115"/>
      <c r="C23"/>
      <c r="D23"/>
      <c r="E23"/>
      <c r="F23"/>
      <c r="G23"/>
      <c r="H23"/>
      <c r="I23"/>
      <c r="J23"/>
      <c r="K23"/>
      <c r="L23"/>
      <c r="O23" s="1"/>
      <c r="P23" s="1"/>
      <c r="S23" s="44"/>
      <c r="T23" s="44"/>
    </row>
    <row r="24" spans="1:26">
      <c r="A24" s="122" t="s">
        <v>1036</v>
      </c>
      <c r="B24" s="123" t="e">
        <f>B20*B22</f>
        <v>#REF!</v>
      </c>
      <c r="C24"/>
      <c r="D24"/>
      <c r="E24"/>
      <c r="F24"/>
      <c r="G24"/>
      <c r="H24"/>
      <c r="I24"/>
      <c r="J24"/>
      <c r="K24"/>
      <c r="L24"/>
      <c r="O24" s="1"/>
      <c r="P24" s="1"/>
      <c r="S24" s="44"/>
      <c r="T24" s="44"/>
    </row>
    <row r="25" spans="1:26">
      <c r="A25"/>
      <c r="B25"/>
      <c r="C25"/>
      <c r="D25"/>
      <c r="E25"/>
      <c r="F25"/>
      <c r="G25"/>
      <c r="H25"/>
      <c r="I25"/>
      <c r="J25"/>
      <c r="K25"/>
      <c r="L25"/>
      <c r="O25" s="1"/>
      <c r="P25" s="1"/>
      <c r="X25" s="44"/>
      <c r="Y25" s="44"/>
      <c r="Z25" s="44"/>
    </row>
    <row r="26" spans="1:26">
      <c r="A26"/>
      <c r="B26"/>
      <c r="C26"/>
      <c r="D26"/>
      <c r="E26"/>
      <c r="F26"/>
      <c r="G26"/>
      <c r="H26"/>
      <c r="I26"/>
      <c r="J26"/>
      <c r="K26"/>
      <c r="L26"/>
      <c r="O26" s="1"/>
      <c r="P26" s="1"/>
      <c r="X26" s="44"/>
      <c r="Y26" s="44"/>
      <c r="Z26" s="44"/>
    </row>
    <row r="27" spans="1:26">
      <c r="A27"/>
      <c r="B27"/>
      <c r="C27"/>
      <c r="D27"/>
      <c r="E27"/>
      <c r="F27"/>
      <c r="G27"/>
      <c r="H27"/>
      <c r="I27"/>
      <c r="J27"/>
      <c r="K27"/>
      <c r="L27"/>
      <c r="M27" s="58"/>
      <c r="N27" s="1"/>
      <c r="O27" s="1"/>
      <c r="X27" s="44"/>
      <c r="Y27" s="44"/>
      <c r="Z27" s="44"/>
    </row>
    <row r="28" spans="1:26">
      <c r="A28"/>
      <c r="B28"/>
      <c r="C28"/>
      <c r="D28"/>
      <c r="E28"/>
      <c r="F28"/>
      <c r="G28"/>
      <c r="H28"/>
      <c r="I28"/>
      <c r="J28"/>
      <c r="K28"/>
      <c r="L28"/>
      <c r="M28" s="58"/>
      <c r="N28" s="1"/>
      <c r="O28" s="1"/>
      <c r="X28" s="44"/>
      <c r="Y28" s="44"/>
      <c r="Z28" s="44"/>
    </row>
    <row r="29" spans="1:26">
      <c r="A29"/>
      <c r="B29"/>
      <c r="C29"/>
      <c r="D29"/>
      <c r="E29"/>
      <c r="F29"/>
      <c r="G29"/>
      <c r="H29"/>
      <c r="I29"/>
      <c r="J29"/>
      <c r="K29"/>
      <c r="L29"/>
      <c r="M29" s="58"/>
      <c r="N29" s="1"/>
      <c r="O29" s="1"/>
      <c r="X29" s="44"/>
      <c r="Y29" s="44"/>
      <c r="Z29" s="44"/>
    </row>
    <row r="30" spans="1:26">
      <c r="A30"/>
      <c r="B30"/>
      <c r="C30"/>
      <c r="D30"/>
      <c r="E30"/>
      <c r="F30"/>
      <c r="G30"/>
      <c r="H30"/>
      <c r="I30"/>
      <c r="J30"/>
      <c r="K30"/>
      <c r="L30"/>
      <c r="M30" s="58"/>
      <c r="N30" s="1"/>
      <c r="O30" s="1"/>
      <c r="X30" s="44"/>
      <c r="Y30" s="44"/>
      <c r="Z30" s="44"/>
    </row>
    <row r="31" spans="1:26">
      <c r="A31"/>
      <c r="B31"/>
      <c r="C31"/>
      <c r="D31"/>
      <c r="E31"/>
      <c r="F31"/>
      <c r="G31"/>
      <c r="H31"/>
      <c r="I31"/>
      <c r="J31"/>
      <c r="K31"/>
      <c r="L31"/>
      <c r="M31" s="58"/>
      <c r="N31" s="1"/>
      <c r="O31" s="1"/>
    </row>
    <row r="32" spans="1:26">
      <c r="A32"/>
      <c r="B32"/>
      <c r="C32"/>
      <c r="D32"/>
      <c r="E32"/>
      <c r="F32"/>
      <c r="G32"/>
      <c r="H32"/>
      <c r="I32"/>
      <c r="J32"/>
      <c r="K32"/>
      <c r="L32"/>
    </row>
    <row r="33" spans="1:12">
      <c r="A33"/>
      <c r="B33"/>
      <c r="C33"/>
      <c r="D33"/>
      <c r="E33"/>
      <c r="F33"/>
      <c r="G33"/>
      <c r="H33"/>
      <c r="I33"/>
      <c r="J33"/>
      <c r="K33"/>
      <c r="L33"/>
    </row>
    <row r="34" spans="1:12">
      <c r="A34"/>
      <c r="B34"/>
      <c r="C34"/>
      <c r="D34"/>
      <c r="E34"/>
      <c r="F34"/>
      <c r="G34"/>
      <c r="H34"/>
      <c r="I34"/>
      <c r="J34"/>
      <c r="K34"/>
      <c r="L34"/>
    </row>
    <row r="35" spans="1:12">
      <c r="A35"/>
      <c r="B35"/>
      <c r="C35"/>
      <c r="D35"/>
      <c r="E35"/>
      <c r="F35"/>
      <c r="G35"/>
      <c r="H35"/>
      <c r="I35"/>
      <c r="J35"/>
      <c r="K35"/>
      <c r="L35"/>
    </row>
    <row r="36" spans="1:12">
      <c r="A36"/>
      <c r="B36"/>
      <c r="C36"/>
      <c r="D36"/>
      <c r="E36"/>
      <c r="F36"/>
      <c r="G36"/>
      <c r="H36"/>
      <c r="I36"/>
      <c r="J36"/>
      <c r="K36"/>
      <c r="L36"/>
    </row>
    <row r="37" spans="1:12">
      <c r="A37"/>
      <c r="B37"/>
      <c r="C37"/>
      <c r="D37"/>
      <c r="E37"/>
      <c r="F37"/>
      <c r="G37"/>
      <c r="H37"/>
      <c r="I37"/>
      <c r="J37"/>
      <c r="K37"/>
      <c r="L37"/>
    </row>
    <row r="38" spans="1:12">
      <c r="A38"/>
      <c r="B38"/>
      <c r="C38"/>
      <c r="D38"/>
      <c r="E38"/>
      <c r="F38"/>
      <c r="G38"/>
      <c r="H38"/>
      <c r="I38"/>
      <c r="J38"/>
      <c r="K38"/>
      <c r="L38"/>
    </row>
    <row r="39" spans="1:12">
      <c r="A39"/>
      <c r="B39"/>
      <c r="C39"/>
      <c r="D39"/>
      <c r="E39"/>
      <c r="F39"/>
      <c r="G39"/>
      <c r="H39"/>
      <c r="I39"/>
      <c r="J39"/>
      <c r="K39"/>
      <c r="L39"/>
    </row>
    <row r="40" spans="1:12">
      <c r="A40"/>
      <c r="B40"/>
      <c r="C40"/>
      <c r="D40"/>
      <c r="E40"/>
      <c r="F40"/>
      <c r="G40"/>
      <c r="H40"/>
      <c r="I40"/>
      <c r="J40"/>
      <c r="K40"/>
      <c r="L40"/>
    </row>
    <row r="41" spans="1:12">
      <c r="A41"/>
      <c r="B41"/>
      <c r="C41"/>
      <c r="D41"/>
      <c r="E41"/>
      <c r="F41"/>
      <c r="G41"/>
      <c r="H41"/>
      <c r="I41"/>
      <c r="J41"/>
      <c r="K41"/>
      <c r="L41"/>
    </row>
    <row r="42" spans="1:12">
      <c r="A42"/>
      <c r="B42"/>
      <c r="C42"/>
      <c r="D42"/>
      <c r="E42"/>
      <c r="F42"/>
      <c r="G42"/>
      <c r="H42"/>
      <c r="I42"/>
      <c r="J42"/>
      <c r="K42"/>
      <c r="L42"/>
    </row>
    <row r="43" spans="1:12">
      <c r="A43"/>
      <c r="B43"/>
      <c r="C43"/>
      <c r="D43"/>
      <c r="E43"/>
      <c r="F43"/>
      <c r="G43"/>
      <c r="H43"/>
      <c r="I43"/>
      <c r="J43"/>
      <c r="K43"/>
      <c r="L43"/>
    </row>
    <row r="44" spans="1:12">
      <c r="A44"/>
      <c r="B44"/>
      <c r="C44"/>
      <c r="D44"/>
      <c r="E44"/>
      <c r="F44"/>
      <c r="G44"/>
      <c r="H44"/>
      <c r="I44"/>
      <c r="J44"/>
      <c r="K44"/>
      <c r="L44"/>
    </row>
    <row r="45" spans="1:12">
      <c r="A45"/>
      <c r="B45"/>
      <c r="C45"/>
      <c r="D45"/>
      <c r="E45"/>
      <c r="F45"/>
      <c r="G45"/>
      <c r="H45"/>
      <c r="I45"/>
      <c r="J45"/>
      <c r="K45"/>
      <c r="L45"/>
    </row>
    <row r="46" spans="1:12">
      <c r="A46"/>
      <c r="B46"/>
      <c r="C46"/>
      <c r="D46"/>
      <c r="E46"/>
      <c r="F46"/>
      <c r="G46"/>
      <c r="H46"/>
      <c r="I46"/>
      <c r="J46"/>
      <c r="K46"/>
      <c r="L46"/>
    </row>
    <row r="47" spans="1:12">
      <c r="A47"/>
      <c r="B47"/>
      <c r="C47"/>
      <c r="D47"/>
      <c r="E47"/>
      <c r="F47"/>
      <c r="G47"/>
      <c r="H47"/>
      <c r="I47"/>
      <c r="J47"/>
      <c r="K47"/>
      <c r="L47"/>
    </row>
    <row r="48" spans="1:12">
      <c r="A48"/>
      <c r="B48"/>
      <c r="C48"/>
      <c r="D48"/>
      <c r="E48"/>
      <c r="F48"/>
      <c r="G48"/>
      <c r="H48"/>
      <c r="I48"/>
      <c r="J48"/>
      <c r="K48"/>
      <c r="L48"/>
    </row>
    <row r="49" spans="1:13">
      <c r="A49"/>
      <c r="B49"/>
      <c r="C49"/>
      <c r="D49"/>
      <c r="E49"/>
      <c r="F49"/>
      <c r="G49"/>
      <c r="H49"/>
      <c r="I49"/>
      <c r="J49"/>
      <c r="K49"/>
      <c r="L49"/>
      <c r="M49" s="2"/>
    </row>
    <row r="50" spans="1:13">
      <c r="A50"/>
      <c r="B50"/>
      <c r="C50"/>
      <c r="D50"/>
      <c r="E50"/>
      <c r="F50"/>
      <c r="G50"/>
      <c r="H50"/>
      <c r="I50"/>
      <c r="J50"/>
      <c r="K50"/>
      <c r="L50"/>
      <c r="M50" s="2"/>
    </row>
    <row r="51" spans="1:13">
      <c r="A51"/>
      <c r="B51"/>
      <c r="C51"/>
      <c r="D51"/>
      <c r="E51"/>
      <c r="F51"/>
      <c r="G51"/>
      <c r="H51"/>
      <c r="I51"/>
      <c r="J51"/>
      <c r="K51"/>
      <c r="L51"/>
      <c r="M51" s="2"/>
    </row>
    <row r="52" spans="1:13">
      <c r="A52"/>
      <c r="B52"/>
      <c r="C52"/>
      <c r="D52"/>
      <c r="E52"/>
      <c r="F52"/>
      <c r="G52"/>
      <c r="H52"/>
      <c r="I52"/>
      <c r="J52"/>
      <c r="K52"/>
      <c r="L52"/>
      <c r="M52" s="2"/>
    </row>
    <row r="53" spans="1:13">
      <c r="A53"/>
      <c r="B53"/>
      <c r="C53"/>
      <c r="D53"/>
      <c r="E53"/>
      <c r="F53"/>
      <c r="G53"/>
      <c r="H53"/>
      <c r="I53"/>
      <c r="J53"/>
      <c r="K53"/>
      <c r="L53"/>
      <c r="M53" s="2"/>
    </row>
    <row r="54" spans="1:13">
      <c r="A54"/>
      <c r="B54"/>
      <c r="C54"/>
      <c r="D54"/>
      <c r="E54"/>
      <c r="F54"/>
      <c r="G54"/>
      <c r="H54"/>
      <c r="I54"/>
      <c r="J54"/>
      <c r="K54"/>
      <c r="L54"/>
      <c r="M54" s="2"/>
    </row>
    <row r="55" spans="1:13">
      <c r="A55"/>
      <c r="B55"/>
      <c r="C55"/>
      <c r="D55"/>
      <c r="E55"/>
      <c r="F55"/>
      <c r="G55"/>
      <c r="H55"/>
      <c r="I55"/>
      <c r="J55"/>
      <c r="K55"/>
      <c r="L55"/>
      <c r="M55" s="2"/>
    </row>
    <row r="56" spans="1:13">
      <c r="A56"/>
      <c r="B56"/>
      <c r="C56"/>
      <c r="D56"/>
      <c r="E56"/>
      <c r="F56"/>
      <c r="G56"/>
      <c r="H56"/>
      <c r="I56"/>
      <c r="J56"/>
      <c r="K56"/>
      <c r="L56"/>
      <c r="M56" s="2"/>
    </row>
    <row r="57" spans="1:13">
      <c r="A57"/>
      <c r="B57"/>
      <c r="C57"/>
      <c r="D57"/>
      <c r="E57"/>
      <c r="F57"/>
      <c r="G57"/>
      <c r="H57"/>
      <c r="I57"/>
      <c r="J57"/>
      <c r="K57"/>
      <c r="L57"/>
      <c r="M57" s="2"/>
    </row>
    <row r="58" spans="1:13">
      <c r="A58"/>
      <c r="B58"/>
      <c r="C58"/>
      <c r="D58"/>
      <c r="E58"/>
      <c r="F58"/>
      <c r="G58"/>
      <c r="H58"/>
      <c r="I58"/>
      <c r="J58"/>
      <c r="K58"/>
      <c r="L58"/>
      <c r="M58" s="2"/>
    </row>
    <row r="59" spans="1:13">
      <c r="A59"/>
      <c r="B59"/>
      <c r="C59"/>
      <c r="D59"/>
      <c r="E59"/>
      <c r="F59"/>
      <c r="G59"/>
      <c r="H59"/>
      <c r="I59"/>
      <c r="J59"/>
      <c r="K59"/>
      <c r="L59"/>
      <c r="M59" s="2"/>
    </row>
    <row r="60" spans="1:13">
      <c r="A60"/>
      <c r="B60"/>
      <c r="C60"/>
      <c r="D60"/>
      <c r="E60"/>
      <c r="F60"/>
      <c r="G60"/>
      <c r="H60"/>
      <c r="I60"/>
      <c r="J60"/>
      <c r="K60"/>
      <c r="L60"/>
      <c r="M60" s="2"/>
    </row>
    <row r="61" spans="1:13">
      <c r="A61"/>
      <c r="B61"/>
      <c r="C61"/>
      <c r="D61"/>
      <c r="E61"/>
      <c r="F61"/>
      <c r="G61"/>
      <c r="H61"/>
      <c r="I61"/>
      <c r="J61"/>
      <c r="K61"/>
      <c r="L61"/>
      <c r="M61" s="2"/>
    </row>
    <row r="62" spans="1:13">
      <c r="A62"/>
      <c r="B62"/>
      <c r="C62"/>
      <c r="D62"/>
      <c r="E62"/>
      <c r="F62"/>
      <c r="G62"/>
      <c r="H62"/>
      <c r="I62"/>
      <c r="J62"/>
      <c r="K62"/>
      <c r="L62"/>
      <c r="M62" s="2"/>
    </row>
    <row r="63" spans="1:13">
      <c r="A63"/>
      <c r="B63"/>
      <c r="C63"/>
      <c r="D63"/>
      <c r="E63"/>
      <c r="F63"/>
      <c r="G63"/>
      <c r="H63"/>
      <c r="I63"/>
      <c r="J63"/>
      <c r="K63"/>
      <c r="L63"/>
      <c r="M63" s="2"/>
    </row>
    <row r="64" spans="1:13">
      <c r="A64"/>
      <c r="B64"/>
      <c r="C64"/>
      <c r="D64"/>
      <c r="E64"/>
      <c r="F64"/>
      <c r="G64"/>
      <c r="H64"/>
      <c r="I64"/>
      <c r="J64"/>
      <c r="K64"/>
      <c r="L64"/>
      <c r="M64" s="2"/>
    </row>
    <row r="65" spans="1:13">
      <c r="A65"/>
      <c r="B65"/>
      <c r="C65"/>
      <c r="D65"/>
      <c r="E65"/>
      <c r="F65"/>
      <c r="G65"/>
      <c r="H65"/>
      <c r="I65"/>
      <c r="J65"/>
      <c r="K65"/>
      <c r="L65"/>
      <c r="M65" s="2"/>
    </row>
    <row r="66" spans="1:13">
      <c r="A66"/>
      <c r="B66"/>
      <c r="C66"/>
      <c r="D66"/>
      <c r="E66"/>
      <c r="F66"/>
      <c r="G66"/>
      <c r="H66"/>
      <c r="I66"/>
      <c r="J66"/>
      <c r="K66"/>
      <c r="L66"/>
      <c r="M66" s="2"/>
    </row>
    <row r="67" spans="1:13">
      <c r="A67"/>
      <c r="B67"/>
      <c r="C67"/>
      <c r="D67"/>
      <c r="E67"/>
      <c r="F67"/>
      <c r="G67"/>
      <c r="H67"/>
      <c r="I67"/>
      <c r="J67"/>
      <c r="K67"/>
      <c r="L67"/>
      <c r="M67" s="2"/>
    </row>
    <row r="68" spans="1:13">
      <c r="A68"/>
      <c r="B68"/>
      <c r="C68"/>
      <c r="D68"/>
      <c r="E68"/>
      <c r="F68"/>
      <c r="G68"/>
      <c r="H68"/>
      <c r="I68"/>
      <c r="J68"/>
      <c r="K68"/>
      <c r="L68"/>
      <c r="M68" s="2"/>
    </row>
    <row r="69" spans="1:13">
      <c r="A69" s="58"/>
      <c r="F69" s="58"/>
      <c r="M69" s="2"/>
    </row>
    <row r="70" spans="1:13">
      <c r="A70" s="6"/>
      <c r="B70" s="6"/>
      <c r="C70" s="6"/>
      <c r="D70" s="6"/>
      <c r="E70" s="90"/>
      <c r="F70" s="90"/>
      <c r="G70" s="90"/>
      <c r="H70" s="90"/>
      <c r="I70" s="90"/>
      <c r="J70" s="90"/>
      <c r="K70" s="90"/>
      <c r="L70" s="90"/>
      <c r="M70" s="58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58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58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58"/>
    </row>
  </sheetData>
  <mergeCells count="1">
    <mergeCell ref="A2:B2"/>
  </mergeCells>
  <printOptions horizontalCentered="1"/>
  <pageMargins left="0.7" right="1.7566666666666699" top="1" bottom="0.75" header="0.3" footer="0.3"/>
  <pageSetup scale="51" orientation="portrait" r:id="rId1"/>
  <headerFooter scaleWithDoc="0">
    <oddHeader xml:space="preserve">&amp;C&amp;"Times New Roman,Regular"&amp;7&amp;K000000
PRIVELEDGED AND CONFIDENTIAL
&amp;"-,Regular"&amp;16&amp;K1C5E5E
&amp;R&amp;"Times New Roman,Regular"&amp;7
</oddHeader>
    <oddFooter>&amp;C&amp;G</oddFooter>
    <firstHeader>&amp;CEXECUTIVE SUMMARY</first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BF12-3683-4344-AAC8-62D3C63A1804}">
  <dimension ref="O6:O8"/>
  <sheetViews>
    <sheetView workbookViewId="0">
      <selection activeCell="E15" sqref="E15"/>
    </sheetView>
  </sheetViews>
  <sheetFormatPr defaultRowHeight="15"/>
  <cols>
    <col min="15" max="15" width="13.42578125" bestFit="1" customWidth="1"/>
  </cols>
  <sheetData>
    <row r="6" spans="15:15">
      <c r="O6" s="1523"/>
    </row>
    <row r="7" spans="15:15">
      <c r="O7" s="1523"/>
    </row>
    <row r="8" spans="15:15">
      <c r="O8" s="1523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0C06-F153-461F-B6CA-15EA61DBB530}">
  <dimension ref="C3:J36"/>
  <sheetViews>
    <sheetView zoomScale="90" zoomScaleNormal="90" workbookViewId="0">
      <selection activeCell="H27" sqref="H27"/>
    </sheetView>
  </sheetViews>
  <sheetFormatPr defaultRowHeight="15"/>
  <cols>
    <col min="3" max="3" width="13.7109375" customWidth="1"/>
    <col min="4" max="4" width="21" customWidth="1"/>
    <col min="9" max="9" width="18.140625" customWidth="1"/>
    <col min="10" max="10" width="21.140625" customWidth="1"/>
  </cols>
  <sheetData>
    <row r="3" spans="3:10" ht="15.75" thickBot="1"/>
    <row r="4" spans="3:10" ht="33.950000000000003" customHeight="1">
      <c r="C4" s="1571" t="s">
        <v>69</v>
      </c>
      <c r="D4" s="1463" t="s">
        <v>1070</v>
      </c>
      <c r="I4" s="1571" t="s">
        <v>69</v>
      </c>
      <c r="J4" s="1592" t="s">
        <v>1079</v>
      </c>
    </row>
    <row r="5" spans="3:10" ht="44.45" customHeight="1">
      <c r="C5" s="1572" t="s">
        <v>70</v>
      </c>
      <c r="D5" s="1542" t="s">
        <v>1071</v>
      </c>
      <c r="I5" s="1572" t="s">
        <v>70</v>
      </c>
      <c r="J5" s="1542" t="s">
        <v>1074</v>
      </c>
    </row>
    <row r="6" spans="3:10">
      <c r="C6" s="1572" t="s">
        <v>650</v>
      </c>
      <c r="D6" s="1587">
        <v>88</v>
      </c>
      <c r="I6" s="1572" t="s">
        <v>650</v>
      </c>
      <c r="J6" s="1587">
        <v>100</v>
      </c>
    </row>
    <row r="7" spans="3:10">
      <c r="C7" s="1572" t="s">
        <v>1052</v>
      </c>
      <c r="D7" s="1588">
        <v>7327000</v>
      </c>
      <c r="I7" s="1572" t="s">
        <v>1052</v>
      </c>
      <c r="J7" s="1588">
        <v>6400000</v>
      </c>
    </row>
    <row r="8" spans="3:10">
      <c r="C8" s="1572" t="s">
        <v>1067</v>
      </c>
      <c r="D8" s="1588">
        <f>D7/D6</f>
        <v>83261.363636363632</v>
      </c>
      <c r="I8" s="1572" t="s">
        <v>1067</v>
      </c>
      <c r="J8" s="1588">
        <f>J7/J6</f>
        <v>64000</v>
      </c>
    </row>
    <row r="9" spans="3:10">
      <c r="C9" s="1572" t="s">
        <v>1068</v>
      </c>
      <c r="D9" s="1589" t="s">
        <v>1072</v>
      </c>
      <c r="I9" s="1572" t="s">
        <v>1068</v>
      </c>
      <c r="J9" s="1589" t="s">
        <v>1072</v>
      </c>
    </row>
    <row r="10" spans="3:10">
      <c r="C10" s="1572" t="s">
        <v>1080</v>
      </c>
      <c r="D10" s="1590">
        <v>44635</v>
      </c>
      <c r="I10" s="1572" t="s">
        <v>1080</v>
      </c>
      <c r="J10" s="1590">
        <v>44603</v>
      </c>
    </row>
    <row r="11" spans="3:10" ht="15.75" thickBot="1">
      <c r="C11" s="1573" t="s">
        <v>1069</v>
      </c>
      <c r="D11" s="1591" t="s">
        <v>1073</v>
      </c>
      <c r="I11" s="1573" t="s">
        <v>1069</v>
      </c>
      <c r="J11" s="1591" t="s">
        <v>1073</v>
      </c>
    </row>
    <row r="12" spans="3:10">
      <c r="D12" s="1524"/>
      <c r="J12" s="1524"/>
    </row>
    <row r="13" spans="3:10" ht="15.75" thickBot="1"/>
    <row r="14" spans="3:10">
      <c r="C14" s="1571" t="s">
        <v>69</v>
      </c>
      <c r="D14" s="1463" t="s">
        <v>1075</v>
      </c>
      <c r="I14" s="1571" t="s">
        <v>69</v>
      </c>
      <c r="J14" s="1463" t="s">
        <v>1077</v>
      </c>
    </row>
    <row r="15" spans="3:10" ht="30">
      <c r="C15" s="1572" t="s">
        <v>70</v>
      </c>
      <c r="D15" s="1542" t="s">
        <v>1076</v>
      </c>
      <c r="I15" s="1572" t="s">
        <v>70</v>
      </c>
      <c r="J15" s="1542" t="s">
        <v>1078</v>
      </c>
    </row>
    <row r="16" spans="3:10">
      <c r="C16" s="1572" t="s">
        <v>650</v>
      </c>
      <c r="D16" s="1587">
        <v>132</v>
      </c>
      <c r="I16" s="1572" t="s">
        <v>650</v>
      </c>
      <c r="J16" s="1587">
        <v>40</v>
      </c>
    </row>
    <row r="17" spans="3:10">
      <c r="C17" s="1572" t="s">
        <v>1052</v>
      </c>
      <c r="D17" s="1588">
        <v>11515008</v>
      </c>
      <c r="I17" s="1572" t="s">
        <v>1052</v>
      </c>
      <c r="J17" s="1588">
        <v>2627500</v>
      </c>
    </row>
    <row r="18" spans="3:10">
      <c r="C18" s="1572" t="s">
        <v>1067</v>
      </c>
      <c r="D18" s="1588">
        <f>D17/D16</f>
        <v>87234.909090909088</v>
      </c>
      <c r="I18" s="1572" t="s">
        <v>1067</v>
      </c>
      <c r="J18" s="1588">
        <f>J17/J16</f>
        <v>65687.5</v>
      </c>
    </row>
    <row r="19" spans="3:10">
      <c r="C19" s="1572" t="s">
        <v>1068</v>
      </c>
      <c r="D19" s="1589" t="s">
        <v>1072</v>
      </c>
      <c r="I19" s="1572" t="s">
        <v>1068</v>
      </c>
      <c r="J19" s="1589" t="s">
        <v>1072</v>
      </c>
    </row>
    <row r="20" spans="3:10">
      <c r="C20" s="1572" t="s">
        <v>1080</v>
      </c>
      <c r="D20" s="1590">
        <v>44285</v>
      </c>
      <c r="I20" s="1572" t="s">
        <v>1080</v>
      </c>
      <c r="J20" s="1590">
        <v>44636</v>
      </c>
    </row>
    <row r="21" spans="3:10" ht="15.75" thickBot="1">
      <c r="C21" s="1573" t="s">
        <v>1069</v>
      </c>
      <c r="D21" s="1591" t="s">
        <v>134</v>
      </c>
      <c r="I21" s="1573" t="s">
        <v>1069</v>
      </c>
      <c r="J21" s="1591" t="s">
        <v>134</v>
      </c>
    </row>
    <row r="33" ht="21.6" customHeight="1"/>
    <row r="36" ht="15.6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2FDA-D280-49B6-86B1-B6D0DD271744}">
  <sheetPr>
    <tabColor rgb="FF002060"/>
  </sheetPr>
  <dimension ref="A1:BG197"/>
  <sheetViews>
    <sheetView zoomScale="70" zoomScaleNormal="70" workbookViewId="0">
      <selection activeCell="F54" sqref="F54"/>
    </sheetView>
  </sheetViews>
  <sheetFormatPr defaultColWidth="9.140625" defaultRowHeight="15.75"/>
  <cols>
    <col min="1" max="1" width="9.140625" style="7" customWidth="1"/>
    <col min="2" max="2" width="15.140625" style="7" customWidth="1"/>
    <col min="3" max="3" width="17.85546875" style="7" customWidth="1"/>
    <col min="4" max="4" width="12.85546875" style="7" customWidth="1"/>
    <col min="5" max="5" width="10" style="7" customWidth="1"/>
    <col min="6" max="7" width="22.5703125" style="7" customWidth="1"/>
    <col min="8" max="8" width="15.85546875" style="7" customWidth="1"/>
    <col min="9" max="9" width="11.85546875" style="7" customWidth="1"/>
    <col min="10" max="10" width="12.85546875" style="7" customWidth="1"/>
    <col min="11" max="11" width="11.140625" style="7" customWidth="1"/>
    <col min="12" max="12" width="9.140625" style="7" customWidth="1"/>
    <col min="13" max="13" width="17" style="7" customWidth="1"/>
    <col min="14" max="17" width="9.140625" style="7"/>
    <col min="18" max="18" width="13.140625" style="7" customWidth="1"/>
    <col min="19" max="19" width="9.140625" style="7"/>
    <col min="20" max="20" width="10.85546875" style="7" customWidth="1"/>
    <col min="21" max="21" width="4.140625" style="7" customWidth="1"/>
    <col min="22" max="22" width="10.85546875" style="7" customWidth="1"/>
    <col min="23" max="23" width="11.85546875" style="7" customWidth="1"/>
    <col min="24" max="24" width="16.5703125" style="7" customWidth="1"/>
    <col min="25" max="35" width="13.85546875" style="7" customWidth="1"/>
    <col min="36" max="36" width="9.140625" style="7"/>
    <col min="37" max="40" width="13.85546875" style="7" customWidth="1"/>
    <col min="41" max="41" width="11.5703125" style="7" bestFit="1" customWidth="1"/>
    <col min="42" max="58" width="9.140625" style="7"/>
    <col min="59" max="59" width="11.5703125" style="7" bestFit="1" customWidth="1"/>
    <col min="60" max="16384" width="9.140625" style="7"/>
  </cols>
  <sheetData>
    <row r="1" spans="3:59" ht="16.5" thickBot="1"/>
    <row r="2" spans="3:59" ht="16.5" thickBot="1">
      <c r="C2" s="1641" t="s">
        <v>28</v>
      </c>
      <c r="D2" s="1642"/>
      <c r="E2" s="1642"/>
      <c r="F2" s="1642"/>
      <c r="G2" s="1642"/>
      <c r="H2" s="1642"/>
      <c r="I2" s="1642"/>
      <c r="J2" s="1643"/>
    </row>
    <row r="3" spans="3:59" ht="16.5" thickBot="1">
      <c r="C3" s="1648" t="s">
        <v>29</v>
      </c>
      <c r="D3" s="1649"/>
      <c r="E3" s="1649"/>
      <c r="F3" s="1649"/>
      <c r="G3" s="1649"/>
      <c r="H3" s="1649"/>
      <c r="I3" s="1649"/>
      <c r="J3" s="1650"/>
    </row>
    <row r="4" spans="3:59">
      <c r="C4" s="1657" t="s">
        <v>30</v>
      </c>
      <c r="D4" s="1644"/>
      <c r="E4" s="1644" t="s">
        <v>1038</v>
      </c>
      <c r="F4" s="1644"/>
      <c r="G4" s="1644"/>
      <c r="H4" s="1644"/>
      <c r="I4" s="1644"/>
      <c r="J4" s="1645"/>
    </row>
    <row r="5" spans="3:59" ht="16.5" thickBot="1">
      <c r="C5" s="1618" t="s">
        <v>31</v>
      </c>
      <c r="D5" s="1608"/>
      <c r="E5" s="1608" t="s">
        <v>32</v>
      </c>
      <c r="F5" s="1608"/>
      <c r="G5" s="1608"/>
      <c r="H5" s="1608"/>
      <c r="I5" s="1608"/>
      <c r="J5" s="1609"/>
    </row>
    <row r="6" spans="3:59" ht="16.5" thickBot="1">
      <c r="C6" s="1638" t="s">
        <v>33</v>
      </c>
      <c r="D6" s="1639"/>
      <c r="E6" s="1639"/>
      <c r="F6" s="1639"/>
      <c r="G6" s="1639"/>
      <c r="H6" s="1639"/>
      <c r="I6" s="1639"/>
      <c r="J6" s="1640"/>
    </row>
    <row r="7" spans="3:59">
      <c r="C7" s="1651" t="s">
        <v>34</v>
      </c>
      <c r="D7" s="1652"/>
      <c r="E7" s="1652"/>
      <c r="F7" s="1652"/>
      <c r="G7" s="1652"/>
      <c r="H7" s="1652"/>
      <c r="I7" s="1652"/>
      <c r="J7" s="1653"/>
    </row>
    <row r="8" spans="3:59" ht="16.5" thickBot="1">
      <c r="C8" s="1654"/>
      <c r="D8" s="1655"/>
      <c r="E8" s="1655"/>
      <c r="F8" s="1655"/>
      <c r="G8" s="1655"/>
      <c r="H8" s="1655"/>
      <c r="I8" s="1655"/>
      <c r="J8" s="1656"/>
    </row>
    <row r="9" spans="3:59">
      <c r="C9" s="1658" t="s">
        <v>35</v>
      </c>
      <c r="D9" s="1646"/>
      <c r="E9" s="1646" t="s">
        <v>30</v>
      </c>
      <c r="F9" s="1646"/>
      <c r="G9" s="1646"/>
      <c r="H9" s="1646" t="s">
        <v>31</v>
      </c>
      <c r="I9" s="1646"/>
      <c r="J9" s="1647"/>
    </row>
    <row r="10" spans="3:59">
      <c r="C10" s="1636" t="s">
        <v>36</v>
      </c>
      <c r="D10" s="1619"/>
      <c r="E10" s="1632" t="s">
        <v>1038</v>
      </c>
      <c r="F10" s="1632"/>
      <c r="G10" s="1632"/>
      <c r="H10" s="1619"/>
      <c r="I10" s="1619"/>
      <c r="J10" s="1637"/>
    </row>
    <row r="11" spans="3:59">
      <c r="C11" s="1636" t="s">
        <v>37</v>
      </c>
      <c r="D11" s="1619"/>
      <c r="E11" s="1632" t="s">
        <v>1038</v>
      </c>
      <c r="F11" s="1632"/>
      <c r="G11" s="1632"/>
      <c r="H11" s="1619" t="s">
        <v>38</v>
      </c>
      <c r="I11" s="1619"/>
      <c r="J11" s="1637"/>
    </row>
    <row r="12" spans="3:59">
      <c r="C12" s="1636" t="s">
        <v>39</v>
      </c>
      <c r="D12" s="1619"/>
      <c r="E12" s="1632" t="s">
        <v>1038</v>
      </c>
      <c r="F12" s="1632"/>
      <c r="G12" s="1632"/>
      <c r="H12" s="1619"/>
      <c r="I12" s="1619"/>
      <c r="J12" s="1637"/>
    </row>
    <row r="13" spans="3:59">
      <c r="C13" s="1636" t="s">
        <v>40</v>
      </c>
      <c r="D13" s="1619"/>
      <c r="E13" s="1632" t="s">
        <v>1038</v>
      </c>
      <c r="F13" s="1632"/>
      <c r="G13" s="1632"/>
      <c r="H13" s="1619" t="s">
        <v>41</v>
      </c>
      <c r="I13" s="1619"/>
      <c r="J13" s="1637"/>
      <c r="BG13" s="1218"/>
    </row>
    <row r="14" spans="3:59">
      <c r="C14" s="1636" t="s">
        <v>42</v>
      </c>
      <c r="D14" s="1619"/>
      <c r="E14" s="1632" t="s">
        <v>1038</v>
      </c>
      <c r="F14" s="1632"/>
      <c r="G14" s="1632"/>
      <c r="H14" s="1619"/>
      <c r="I14" s="1619"/>
      <c r="J14" s="1637"/>
      <c r="BG14" s="1218" t="s">
        <v>43</v>
      </c>
    </row>
    <row r="15" spans="3:59" ht="16.5" thickBot="1">
      <c r="C15" s="1618" t="s">
        <v>45</v>
      </c>
      <c r="D15" s="1608"/>
      <c r="E15" s="1607" t="s">
        <v>1038</v>
      </c>
      <c r="F15" s="1607"/>
      <c r="G15" s="1607"/>
      <c r="H15" s="1608"/>
      <c r="I15" s="1608"/>
      <c r="J15" s="1609"/>
      <c r="BG15" s="1217"/>
    </row>
    <row r="16" spans="3:59" ht="16.5" hidden="1" thickBot="1">
      <c r="C16" s="1638" t="s">
        <v>46</v>
      </c>
      <c r="D16" s="1639"/>
      <c r="E16" s="1639"/>
      <c r="F16" s="1639"/>
      <c r="G16" s="1639"/>
      <c r="H16" s="1639"/>
      <c r="I16" s="1639"/>
      <c r="J16" s="1640"/>
      <c r="BG16" s="1218"/>
    </row>
    <row r="17" spans="1:59" hidden="1">
      <c r="C17" s="1161" t="s">
        <v>47</v>
      </c>
      <c r="D17" s="1158" t="s">
        <v>48</v>
      </c>
      <c r="E17" s="138"/>
      <c r="F17" s="138"/>
      <c r="G17" s="138"/>
      <c r="H17" s="138"/>
      <c r="I17" s="138"/>
      <c r="J17" s="222"/>
      <c r="BG17" s="1218" t="s">
        <v>49</v>
      </c>
    </row>
    <row r="18" spans="1:59" hidden="1">
      <c r="C18" s="1162" t="s">
        <v>50</v>
      </c>
      <c r="D18" s="137" t="s">
        <v>51</v>
      </c>
      <c r="J18" s="140"/>
      <c r="BG18" s="1218" t="s">
        <v>52</v>
      </c>
    </row>
    <row r="19" spans="1:59" hidden="1">
      <c r="C19" s="135"/>
      <c r="D19" s="7" t="s">
        <v>53</v>
      </c>
      <c r="J19" s="140"/>
      <c r="BG19" s="1218" t="s">
        <v>54</v>
      </c>
    </row>
    <row r="20" spans="1:59" hidden="1">
      <c r="C20" s="1420" t="s">
        <v>55</v>
      </c>
      <c r="D20" s="7" t="s">
        <v>56</v>
      </c>
      <c r="J20" s="140"/>
      <c r="BG20" s="1218" t="s">
        <v>57</v>
      </c>
    </row>
    <row r="21" spans="1:59" ht="16.5" hidden="1" customHeight="1" thickBot="1">
      <c r="C21" s="136"/>
      <c r="D21" s="1159" t="s">
        <v>58</v>
      </c>
      <c r="E21" s="139"/>
      <c r="F21" s="139"/>
      <c r="G21" s="1163"/>
      <c r="H21" s="1163"/>
      <c r="I21" s="1163"/>
      <c r="J21" s="1164"/>
      <c r="BG21" s="1218" t="s">
        <v>59</v>
      </c>
    </row>
    <row r="22" spans="1:59" ht="16.5" hidden="1" customHeight="1" thickBot="1">
      <c r="C22" s="1638" t="s">
        <v>60</v>
      </c>
      <c r="D22" s="1639"/>
      <c r="E22" s="1639"/>
      <c r="F22" s="1639"/>
      <c r="G22" s="1639"/>
      <c r="H22" s="1639"/>
      <c r="I22" s="1639"/>
      <c r="J22" s="1640"/>
      <c r="BG22" s="1218" t="s">
        <v>61</v>
      </c>
    </row>
    <row r="23" spans="1:59" ht="16.5" hidden="1" customHeight="1">
      <c r="C23" s="674" t="s">
        <v>62</v>
      </c>
      <c r="D23" s="1158"/>
      <c r="E23" s="138"/>
      <c r="F23" s="138"/>
      <c r="G23" s="1165"/>
      <c r="H23" s="1165"/>
      <c r="I23" s="1165"/>
      <c r="J23" s="1166"/>
      <c r="BG23" s="1217"/>
    </row>
    <row r="24" spans="1:59" ht="16.5" hidden="1" customHeight="1">
      <c r="C24" s="135" t="s">
        <v>63</v>
      </c>
      <c r="D24" s="137"/>
      <c r="G24" s="1160"/>
      <c r="H24" s="1160"/>
      <c r="I24" s="1160"/>
      <c r="J24" s="1167"/>
      <c r="BG24" s="1217"/>
    </row>
    <row r="25" spans="1:59" ht="16.5" hidden="1" customHeight="1">
      <c r="C25" s="135" t="s">
        <v>64</v>
      </c>
      <c r="D25" s="137"/>
      <c r="G25" s="1160"/>
      <c r="H25" s="1160"/>
      <c r="I25" s="1160"/>
      <c r="J25" s="1167"/>
      <c r="BG25" s="1217"/>
    </row>
    <row r="26" spans="1:59" ht="16.5" hidden="1" customHeight="1">
      <c r="C26" s="135" t="s">
        <v>65</v>
      </c>
      <c r="D26" s="137"/>
      <c r="G26" s="1160"/>
      <c r="H26" s="1160"/>
      <c r="I26" s="1160"/>
      <c r="J26" s="1167"/>
      <c r="BG26" s="1217"/>
    </row>
    <row r="27" spans="1:59" ht="16.5" hidden="1" customHeight="1">
      <c r="C27" s="135" t="s">
        <v>66</v>
      </c>
      <c r="D27" s="137"/>
      <c r="G27" s="1160"/>
      <c r="H27" s="1160"/>
      <c r="I27" s="1160"/>
      <c r="J27" s="1167"/>
      <c r="BG27" s="1217"/>
    </row>
    <row r="28" spans="1:59" ht="16.5" hidden="1" thickBot="1">
      <c r="C28" s="1633"/>
      <c r="D28" s="1634"/>
      <c r="E28" s="1634"/>
      <c r="F28" s="1634"/>
      <c r="G28" s="1634"/>
      <c r="H28" s="1634"/>
      <c r="I28" s="1634"/>
      <c r="J28" s="1635"/>
      <c r="BG28" s="1217"/>
    </row>
    <row r="29" spans="1:59">
      <c r="BG29" s="1217"/>
    </row>
    <row r="30" spans="1:59" ht="16.5" thickBot="1">
      <c r="BG30" s="1217"/>
    </row>
    <row r="31" spans="1:59" ht="16.5" thickBot="1">
      <c r="A31" s="1641" t="s">
        <v>67</v>
      </c>
      <c r="B31" s="1642"/>
      <c r="C31" s="1642"/>
      <c r="D31" s="1642"/>
      <c r="E31" s="1642"/>
      <c r="F31" s="1642"/>
      <c r="G31" s="1642"/>
      <c r="H31" s="1642"/>
      <c r="I31" s="1642"/>
      <c r="J31" s="1642"/>
      <c r="K31" s="1642"/>
      <c r="L31" s="1642"/>
      <c r="M31" s="1642"/>
      <c r="N31" s="1642"/>
      <c r="O31" s="1642"/>
      <c r="P31" s="1642"/>
      <c r="Q31" s="1642"/>
      <c r="R31" s="1642"/>
      <c r="S31" s="1643"/>
      <c r="U31" s="1622" t="s">
        <v>68</v>
      </c>
      <c r="V31" s="1623"/>
      <c r="W31" s="1623"/>
      <c r="X31" s="1624"/>
      <c r="BG31" s="1217"/>
    </row>
    <row r="32" spans="1:59">
      <c r="A32" s="223"/>
      <c r="B32" s="224"/>
      <c r="C32" s="1668" t="s">
        <v>69</v>
      </c>
      <c r="D32" s="1668"/>
      <c r="E32" s="1668"/>
      <c r="F32" s="1671"/>
      <c r="G32" s="1671"/>
      <c r="H32" s="224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222"/>
      <c r="U32" s="1625"/>
      <c r="V32" s="1626"/>
      <c r="W32" s="1626"/>
      <c r="X32" s="1627"/>
      <c r="BG32" s="1217"/>
    </row>
    <row r="33" spans="1:59">
      <c r="A33" s="167"/>
      <c r="B33" s="34"/>
      <c r="C33" s="1606" t="s">
        <v>70</v>
      </c>
      <c r="D33" s="1606"/>
      <c r="E33" s="1606"/>
      <c r="F33" s="1670"/>
      <c r="G33" s="1670"/>
      <c r="H33" s="34"/>
      <c r="S33" s="140"/>
      <c r="U33" s="1625"/>
      <c r="V33" s="1626"/>
      <c r="W33" s="1626"/>
      <c r="X33" s="1627"/>
      <c r="BG33" s="1217"/>
    </row>
    <row r="34" spans="1:59">
      <c r="A34" s="167"/>
      <c r="B34" s="34"/>
      <c r="C34" s="1606" t="s">
        <v>71</v>
      </c>
      <c r="D34" s="1606"/>
      <c r="E34" s="1606"/>
      <c r="F34" s="1421"/>
      <c r="G34" s="1422"/>
      <c r="H34" s="34"/>
      <c r="S34" s="140"/>
      <c r="U34" s="1625"/>
      <c r="V34" s="1626"/>
      <c r="W34" s="1626"/>
      <c r="X34" s="1627"/>
      <c r="BG34" s="1217"/>
    </row>
    <row r="35" spans="1:59">
      <c r="A35" s="167"/>
      <c r="B35" s="34"/>
      <c r="C35" s="1606" t="s">
        <v>72</v>
      </c>
      <c r="D35" s="1606"/>
      <c r="E35" s="1606"/>
      <c r="F35" s="1670"/>
      <c r="G35" s="1670"/>
      <c r="H35" s="34"/>
      <c r="S35" s="140"/>
      <c r="U35" s="1625"/>
      <c r="V35" s="1626"/>
      <c r="W35" s="1626"/>
      <c r="X35" s="1627"/>
      <c r="BG35" s="1217"/>
    </row>
    <row r="36" spans="1:59">
      <c r="A36" s="167"/>
      <c r="B36" s="34"/>
      <c r="C36" s="1606" t="s">
        <v>73</v>
      </c>
      <c r="D36" s="1606"/>
      <c r="E36" s="1606"/>
      <c r="F36" s="1670"/>
      <c r="G36" s="1670"/>
      <c r="H36" s="34"/>
      <c r="S36" s="140"/>
      <c r="U36" s="1625"/>
      <c r="V36" s="1626"/>
      <c r="W36" s="1626"/>
      <c r="X36" s="1627"/>
      <c r="BG36" s="1217"/>
    </row>
    <row r="37" spans="1:59" ht="16.5" thickBot="1">
      <c r="A37" s="167"/>
      <c r="B37" s="34"/>
      <c r="C37" s="34"/>
      <c r="D37" s="34"/>
      <c r="E37" s="34"/>
      <c r="F37" s="34"/>
      <c r="G37" s="34"/>
      <c r="H37" s="34"/>
      <c r="S37" s="140"/>
      <c r="U37" s="1628"/>
      <c r="V37" s="1629"/>
      <c r="W37" s="1629"/>
      <c r="X37" s="1630"/>
      <c r="BG37" s="1217"/>
    </row>
    <row r="38" spans="1:59">
      <c r="A38" s="167"/>
      <c r="B38" s="34"/>
      <c r="C38" s="1606" t="s">
        <v>74</v>
      </c>
      <c r="D38" s="1606"/>
      <c r="E38" s="1606"/>
      <c r="F38" s="490"/>
      <c r="G38" s="1423"/>
      <c r="H38" s="34"/>
      <c r="S38" s="140"/>
      <c r="BG38" s="1217"/>
    </row>
    <row r="39" spans="1:59">
      <c r="A39" s="167"/>
      <c r="B39" s="34"/>
      <c r="C39" s="1606" t="s">
        <v>75</v>
      </c>
      <c r="D39" s="1606"/>
      <c r="E39" s="1606"/>
      <c r="F39" s="1423"/>
      <c r="G39" s="34"/>
      <c r="H39" s="34"/>
      <c r="S39" s="140"/>
      <c r="U39" s="510" t="s">
        <v>76</v>
      </c>
      <c r="BG39" s="1217"/>
    </row>
    <row r="40" spans="1:59">
      <c r="A40" s="135"/>
      <c r="B40" s="34"/>
      <c r="C40" s="1606" t="s">
        <v>77</v>
      </c>
      <c r="D40" s="1606"/>
      <c r="E40" s="1606"/>
      <c r="F40" s="1424"/>
      <c r="G40" s="34"/>
      <c r="H40" s="34"/>
      <c r="S40" s="140"/>
      <c r="BG40" s="1217"/>
    </row>
    <row r="41" spans="1:59">
      <c r="A41" s="167"/>
      <c r="B41" s="34"/>
      <c r="C41" s="1619" t="s">
        <v>78</v>
      </c>
      <c r="D41" s="1619"/>
      <c r="E41" s="1619"/>
      <c r="F41" s="1425"/>
      <c r="H41" s="34"/>
      <c r="S41" s="140"/>
      <c r="BG41" s="1217"/>
    </row>
    <row r="42" spans="1:59" ht="16.5" thickBot="1">
      <c r="A42" s="136"/>
      <c r="B42" s="139"/>
      <c r="C42" s="1606" t="s">
        <v>79</v>
      </c>
      <c r="D42" s="1606"/>
      <c r="E42" s="1606"/>
      <c r="F42" s="1423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S42" s="141"/>
      <c r="BE42" s="1217"/>
    </row>
    <row r="43" spans="1:59" ht="16.5" thickBot="1">
      <c r="A43" s="1641" t="s">
        <v>80</v>
      </c>
      <c r="B43" s="1642"/>
      <c r="C43" s="1642"/>
      <c r="D43" s="1642"/>
      <c r="E43" s="1642"/>
      <c r="F43" s="1642"/>
      <c r="G43" s="1642"/>
      <c r="H43" s="1642"/>
      <c r="I43" s="1642"/>
      <c r="J43" s="1642"/>
      <c r="K43" s="1642"/>
      <c r="L43" s="1642"/>
      <c r="M43" s="1642"/>
      <c r="N43" s="1642"/>
      <c r="O43" s="1642"/>
      <c r="P43" s="1642"/>
      <c r="Q43" s="1642"/>
      <c r="R43" s="1642"/>
      <c r="S43" s="1643"/>
      <c r="BG43" s="1217"/>
    </row>
    <row r="44" spans="1:59">
      <c r="A44" s="135"/>
      <c r="C44" s="1669" t="s">
        <v>81</v>
      </c>
      <c r="D44" s="1669"/>
      <c r="E44" s="1669"/>
      <c r="G44" s="382" t="s">
        <v>82</v>
      </c>
      <c r="J44" s="382" t="s">
        <v>83</v>
      </c>
      <c r="S44" s="140"/>
      <c r="BG44" s="1217"/>
    </row>
    <row r="45" spans="1:59">
      <c r="A45" s="135"/>
      <c r="E45" s="7" t="s">
        <v>84</v>
      </c>
      <c r="F45" s="1426"/>
      <c r="G45" s="1022"/>
      <c r="H45" s="1022"/>
      <c r="I45" s="1022"/>
      <c r="J45" s="1620" t="s">
        <v>85</v>
      </c>
      <c r="K45" s="1620"/>
      <c r="L45" s="1620"/>
      <c r="M45" s="1620"/>
      <c r="N45" s="1620"/>
      <c r="O45" s="1620"/>
      <c r="P45" s="1620"/>
      <c r="Q45" s="1620"/>
      <c r="R45" s="1620"/>
      <c r="S45" s="1621"/>
      <c r="BG45" s="1217"/>
    </row>
    <row r="46" spans="1:59">
      <c r="A46" s="135"/>
      <c r="E46" s="7" t="s">
        <v>86</v>
      </c>
      <c r="F46" s="489">
        <f>1-F45</f>
        <v>1</v>
      </c>
      <c r="G46" s="1022"/>
      <c r="H46" s="1022"/>
      <c r="I46" s="1022"/>
      <c r="J46" s="1620" t="s">
        <v>87</v>
      </c>
      <c r="K46" s="1620"/>
      <c r="L46" s="1620"/>
      <c r="M46" s="1620"/>
      <c r="N46" s="1620"/>
      <c r="O46" s="1620"/>
      <c r="P46" s="1620"/>
      <c r="Q46" s="1620"/>
      <c r="R46" s="1620"/>
      <c r="S46" s="1621"/>
      <c r="BG46" s="1217"/>
    </row>
    <row r="47" spans="1:59" ht="4.5" customHeight="1">
      <c r="A47" s="273"/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74"/>
      <c r="BG47" s="1217"/>
    </row>
    <row r="48" spans="1:59">
      <c r="A48" s="135"/>
      <c r="C48" s="1669" t="s">
        <v>88</v>
      </c>
      <c r="D48" s="1669"/>
      <c r="E48" s="1669"/>
      <c r="G48" s="382" t="s">
        <v>82</v>
      </c>
      <c r="J48" s="382" t="s">
        <v>83</v>
      </c>
      <c r="S48" s="140"/>
      <c r="BG48" s="1217"/>
    </row>
    <row r="49" spans="1:59">
      <c r="A49" s="135"/>
      <c r="D49" s="1619" t="s">
        <v>89</v>
      </c>
      <c r="E49" s="1619"/>
      <c r="F49" s="1426"/>
      <c r="G49" s="1661"/>
      <c r="H49" s="1661"/>
      <c r="I49" s="1661"/>
      <c r="J49" s="1620" t="s">
        <v>90</v>
      </c>
      <c r="K49" s="1620"/>
      <c r="L49" s="1620"/>
      <c r="M49" s="1620"/>
      <c r="N49" s="1620"/>
      <c r="O49" s="1620"/>
      <c r="P49" s="1620"/>
      <c r="Q49" s="1620"/>
      <c r="R49" s="1620"/>
      <c r="S49" s="1621"/>
      <c r="BG49" s="1217"/>
    </row>
    <row r="50" spans="1:59" ht="4.5" customHeight="1" thickBot="1">
      <c r="A50" s="273"/>
      <c r="B50" s="236"/>
      <c r="C50" s="236"/>
      <c r="D50" s="275"/>
      <c r="E50" s="275"/>
      <c r="F50" s="276"/>
      <c r="G50" s="277"/>
      <c r="H50" s="236"/>
      <c r="I50" s="236"/>
      <c r="J50" s="278"/>
      <c r="K50" s="236"/>
      <c r="L50" s="236"/>
      <c r="M50" s="236"/>
      <c r="N50" s="236"/>
      <c r="O50" s="236"/>
      <c r="P50" s="236"/>
      <c r="Q50" s="236"/>
      <c r="R50" s="236"/>
      <c r="S50" s="274"/>
      <c r="BG50" s="1217"/>
    </row>
    <row r="51" spans="1:59">
      <c r="A51" s="674"/>
      <c r="B51" s="138"/>
      <c r="C51" s="1646" t="s">
        <v>91</v>
      </c>
      <c r="D51" s="1646"/>
      <c r="E51" s="1646"/>
      <c r="F51" s="1427">
        <v>2</v>
      </c>
      <c r="G51" s="706" t="s">
        <v>82</v>
      </c>
      <c r="H51" s="138"/>
      <c r="I51" s="138"/>
      <c r="J51" s="706" t="s">
        <v>83</v>
      </c>
      <c r="K51" s="138"/>
      <c r="L51" s="138"/>
      <c r="M51" s="138"/>
      <c r="N51" s="138"/>
      <c r="O51" s="138"/>
      <c r="P51" s="138"/>
      <c r="Q51" s="138"/>
      <c r="R51" s="138"/>
      <c r="S51" s="222"/>
      <c r="BG51" s="1217"/>
    </row>
    <row r="52" spans="1:59">
      <c r="A52" s="135"/>
      <c r="J52" s="1620" t="s">
        <v>92</v>
      </c>
      <c r="K52" s="1620"/>
      <c r="L52" s="1620"/>
      <c r="M52" s="1620"/>
      <c r="N52" s="1620"/>
      <c r="O52" s="1620"/>
      <c r="P52" s="1620"/>
      <c r="Q52" s="1620"/>
      <c r="R52" s="1620"/>
      <c r="S52" s="1621"/>
    </row>
    <row r="53" spans="1:59">
      <c r="A53" s="135"/>
      <c r="C53" s="1667" t="s">
        <v>93</v>
      </c>
      <c r="D53" s="1667"/>
      <c r="E53" s="1667"/>
      <c r="F53" s="67" t="str">
        <f>IF(F51&gt;0,"No","Yes")</f>
        <v>No</v>
      </c>
      <c r="J53" s="710"/>
      <c r="K53" s="710"/>
      <c r="L53" s="710"/>
      <c r="M53" s="710"/>
      <c r="N53" s="710"/>
      <c r="O53" s="710"/>
      <c r="P53" s="710"/>
      <c r="Q53" s="710"/>
      <c r="R53" s="710"/>
      <c r="S53" s="711"/>
    </row>
    <row r="54" spans="1:59" ht="16.5" thickBot="1">
      <c r="A54" s="136"/>
      <c r="B54" s="139"/>
      <c r="C54" s="1660" t="s">
        <v>94</v>
      </c>
      <c r="D54" s="1660"/>
      <c r="E54" s="1660"/>
      <c r="F54" s="709" t="str">
        <f>IF(F53="No","Yes",IF(F53="","",IF(F53="Yes","No",0)))</f>
        <v>Yes</v>
      </c>
      <c r="G54" s="139"/>
      <c r="H54" s="139"/>
      <c r="I54" s="139"/>
      <c r="J54" s="712"/>
      <c r="K54" s="712"/>
      <c r="L54" s="712"/>
      <c r="M54" s="712"/>
      <c r="N54" s="712"/>
      <c r="O54" s="712"/>
      <c r="P54" s="712"/>
      <c r="Q54" s="712"/>
      <c r="R54" s="712"/>
      <c r="S54" s="713"/>
    </row>
    <row r="55" spans="1:59" ht="16.5" thickBot="1">
      <c r="A55" s="1641" t="s">
        <v>95</v>
      </c>
      <c r="B55" s="1642"/>
      <c r="C55" s="1642"/>
      <c r="D55" s="1642"/>
      <c r="E55" s="1642"/>
      <c r="F55" s="1642"/>
      <c r="G55" s="1642"/>
      <c r="H55" s="1642"/>
      <c r="I55" s="1642"/>
      <c r="J55" s="1642"/>
      <c r="K55" s="1642"/>
      <c r="L55" s="1642"/>
      <c r="M55" s="1642"/>
      <c r="N55" s="1642"/>
      <c r="O55" s="1642"/>
      <c r="P55" s="1642"/>
      <c r="Q55" s="1642"/>
      <c r="R55" s="1642"/>
      <c r="S55" s="1643"/>
    </row>
    <row r="56" spans="1:59" s="281" customFormat="1">
      <c r="A56" s="280"/>
      <c r="C56" s="706" t="s">
        <v>96</v>
      </c>
      <c r="D56" s="707"/>
      <c r="E56" s="707"/>
      <c r="G56" s="382" t="s">
        <v>82</v>
      </c>
      <c r="J56" s="382" t="s">
        <v>83</v>
      </c>
      <c r="S56" s="282"/>
    </row>
    <row r="57" spans="1:59">
      <c r="A57" s="135"/>
      <c r="D57" s="1659" t="s">
        <v>97</v>
      </c>
      <c r="E57" s="1659"/>
      <c r="F57" s="1428"/>
      <c r="G57" s="1022"/>
      <c r="H57" s="1022"/>
      <c r="I57" s="1022"/>
      <c r="J57" s="1620" t="s">
        <v>98</v>
      </c>
      <c r="K57" s="1620"/>
      <c r="L57" s="1620"/>
      <c r="M57" s="1620"/>
      <c r="N57" s="1620"/>
      <c r="O57" s="1620"/>
      <c r="P57" s="1620"/>
      <c r="Q57" s="1620"/>
      <c r="R57" s="1620"/>
      <c r="S57" s="1621"/>
    </row>
    <row r="58" spans="1:59">
      <c r="A58" s="135"/>
      <c r="D58" s="1659" t="s">
        <v>99</v>
      </c>
      <c r="E58" s="1659"/>
      <c r="F58" s="1061">
        <v>0</v>
      </c>
      <c r="G58" s="1022"/>
      <c r="H58" s="1022"/>
      <c r="I58" s="1022"/>
      <c r="J58" s="1620" t="s">
        <v>100</v>
      </c>
      <c r="K58" s="1620"/>
      <c r="L58" s="1620"/>
      <c r="M58" s="1620"/>
      <c r="N58" s="1620"/>
      <c r="O58" s="1620"/>
      <c r="P58" s="1620"/>
      <c r="Q58" s="1620"/>
      <c r="R58" s="1620"/>
      <c r="S58" s="1621"/>
    </row>
    <row r="59" spans="1:59">
      <c r="A59" s="135"/>
      <c r="D59" s="1659" t="s">
        <v>101</v>
      </c>
      <c r="E59" s="1659"/>
      <c r="F59" s="1061">
        <v>0</v>
      </c>
      <c r="G59" s="1022"/>
      <c r="H59" s="1022"/>
      <c r="I59" s="1022"/>
      <c r="J59" s="1662"/>
      <c r="K59" s="1662"/>
      <c r="L59" s="1662"/>
      <c r="M59" s="1662"/>
      <c r="N59" s="1662"/>
      <c r="O59" s="1662"/>
      <c r="P59" s="1662"/>
      <c r="Q59" s="1662"/>
      <c r="R59" s="1662"/>
      <c r="S59" s="1663"/>
    </row>
    <row r="60" spans="1:59" ht="4.5" customHeight="1">
      <c r="A60" s="273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74"/>
    </row>
    <row r="61" spans="1:59" s="281" customFormat="1">
      <c r="A61" s="280"/>
      <c r="C61" s="382" t="s">
        <v>102</v>
      </c>
      <c r="D61" s="226"/>
      <c r="E61" s="226"/>
      <c r="G61" s="382" t="s">
        <v>82</v>
      </c>
      <c r="J61" s="382" t="s">
        <v>83</v>
      </c>
      <c r="S61" s="282"/>
    </row>
    <row r="62" spans="1:59">
      <c r="A62" s="135"/>
      <c r="D62" s="1659" t="s">
        <v>103</v>
      </c>
      <c r="E62" s="1659"/>
      <c r="F62" s="1061"/>
      <c r="G62" s="1022"/>
      <c r="H62" s="1022"/>
      <c r="I62" s="1022"/>
      <c r="J62" s="1613"/>
      <c r="K62" s="1613"/>
      <c r="L62" s="1613"/>
      <c r="M62" s="1613"/>
      <c r="N62" s="1613"/>
      <c r="O62" s="1613"/>
      <c r="P62" s="1613"/>
      <c r="Q62" s="1613"/>
      <c r="R62" s="1613"/>
      <c r="S62" s="1614"/>
    </row>
    <row r="63" spans="1:59">
      <c r="A63" s="135"/>
      <c r="D63" s="1659" t="s">
        <v>104</v>
      </c>
      <c r="E63" s="1659"/>
      <c r="F63" s="1061"/>
      <c r="G63" s="1022"/>
      <c r="H63" s="1022"/>
      <c r="I63" s="1022"/>
      <c r="J63" s="1613"/>
      <c r="K63" s="1613"/>
      <c r="L63" s="1613"/>
      <c r="M63" s="1613"/>
      <c r="N63" s="1613"/>
      <c r="O63" s="1613"/>
      <c r="P63" s="1613"/>
      <c r="Q63" s="1613"/>
      <c r="R63" s="1613"/>
      <c r="S63" s="1614"/>
    </row>
    <row r="64" spans="1:59">
      <c r="A64" s="135"/>
      <c r="D64" s="1659" t="s">
        <v>105</v>
      </c>
      <c r="E64" s="1659"/>
      <c r="F64" s="1061"/>
      <c r="G64" s="1022"/>
      <c r="H64" s="1022"/>
      <c r="I64" s="1022"/>
      <c r="J64" s="1613"/>
      <c r="K64" s="1613"/>
      <c r="L64" s="1613"/>
      <c r="M64" s="1613"/>
      <c r="N64" s="1613"/>
      <c r="O64" s="1613"/>
      <c r="P64" s="1613"/>
      <c r="Q64" s="1613"/>
      <c r="R64" s="1613"/>
      <c r="S64" s="1614"/>
    </row>
    <row r="65" spans="1:19">
      <c r="A65" s="135"/>
      <c r="D65" s="1659" t="s">
        <v>106</v>
      </c>
      <c r="E65" s="1659"/>
      <c r="F65" s="1061"/>
      <c r="G65" s="1022"/>
      <c r="H65" s="1022"/>
      <c r="I65" s="1022"/>
      <c r="J65" s="1613"/>
      <c r="K65" s="1613"/>
      <c r="L65" s="1613"/>
      <c r="M65" s="1613"/>
      <c r="N65" s="1613"/>
      <c r="O65" s="1613"/>
      <c r="P65" s="1613"/>
      <c r="Q65" s="1613"/>
      <c r="R65" s="1613"/>
      <c r="S65" s="1614"/>
    </row>
    <row r="66" spans="1:19">
      <c r="A66" s="135"/>
      <c r="D66" s="1659" t="s">
        <v>107</v>
      </c>
      <c r="E66" s="1659"/>
      <c r="F66" s="1061"/>
      <c r="G66" s="1022"/>
      <c r="H66" s="1022"/>
      <c r="I66" s="1022"/>
      <c r="J66" s="1620" t="s">
        <v>108</v>
      </c>
      <c r="K66" s="1620"/>
      <c r="L66" s="1620"/>
      <c r="M66" s="1620"/>
      <c r="N66" s="1620"/>
      <c r="O66" s="1620"/>
      <c r="P66" s="1620"/>
      <c r="Q66" s="1620"/>
      <c r="R66" s="1620"/>
      <c r="S66" s="1621"/>
    </row>
    <row r="67" spans="1:19">
      <c r="A67" s="135"/>
      <c r="D67" s="1659" t="s">
        <v>109</v>
      </c>
      <c r="E67" s="1659"/>
      <c r="F67" s="1061"/>
      <c r="G67" s="1022"/>
      <c r="H67" s="1022"/>
      <c r="I67" s="1022"/>
      <c r="J67" s="1613"/>
      <c r="K67" s="1613"/>
      <c r="L67" s="1613"/>
      <c r="M67" s="1613"/>
      <c r="N67" s="1613"/>
      <c r="O67" s="1613"/>
      <c r="P67" s="1613"/>
      <c r="Q67" s="1613"/>
      <c r="R67" s="1613"/>
      <c r="S67" s="1614"/>
    </row>
    <row r="68" spans="1:19">
      <c r="A68" s="135"/>
      <c r="D68" s="1659" t="s">
        <v>101</v>
      </c>
      <c r="E68" s="1659"/>
      <c r="F68" s="1061"/>
      <c r="G68" s="1022"/>
      <c r="H68" s="1022"/>
      <c r="I68" s="1022"/>
      <c r="J68" s="1613"/>
      <c r="K68" s="1613"/>
      <c r="L68" s="1613"/>
      <c r="M68" s="1613"/>
      <c r="N68" s="1613"/>
      <c r="O68" s="1613"/>
      <c r="P68" s="1613"/>
      <c r="Q68" s="1613"/>
      <c r="R68" s="1613"/>
      <c r="S68" s="1614"/>
    </row>
    <row r="69" spans="1:19" ht="4.5" customHeight="1">
      <c r="A69" s="273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74"/>
    </row>
    <row r="70" spans="1:19" s="281" customFormat="1">
      <c r="A70" s="280"/>
      <c r="C70" s="382" t="s">
        <v>110</v>
      </c>
      <c r="D70" s="226"/>
      <c r="E70" s="226"/>
      <c r="G70" s="382" t="s">
        <v>82</v>
      </c>
      <c r="J70" s="382" t="s">
        <v>83</v>
      </c>
      <c r="S70" s="282"/>
    </row>
    <row r="71" spans="1:19">
      <c r="A71" s="135"/>
      <c r="D71" s="1659" t="s">
        <v>111</v>
      </c>
      <c r="E71" s="1659"/>
      <c r="F71" s="1061"/>
      <c r="G71" s="1022"/>
      <c r="H71" s="1022"/>
      <c r="I71" s="1022"/>
      <c r="J71" s="1613"/>
      <c r="K71" s="1613"/>
      <c r="L71" s="1613"/>
      <c r="M71" s="1613"/>
      <c r="N71" s="1613"/>
      <c r="O71" s="1613"/>
      <c r="P71" s="1613"/>
      <c r="Q71" s="1613"/>
      <c r="R71" s="1613"/>
      <c r="S71" s="1614"/>
    </row>
    <row r="72" spans="1:19">
      <c r="A72" s="135"/>
      <c r="D72" s="1659" t="s">
        <v>112</v>
      </c>
      <c r="E72" s="1659"/>
      <c r="F72" s="1061"/>
      <c r="G72" s="1022"/>
      <c r="H72" s="1022"/>
      <c r="I72" s="1022"/>
      <c r="J72" s="1613"/>
      <c r="K72" s="1613"/>
      <c r="L72" s="1613"/>
      <c r="M72" s="1613"/>
      <c r="N72" s="1613"/>
      <c r="O72" s="1613"/>
      <c r="P72" s="1613"/>
      <c r="Q72" s="1613"/>
      <c r="R72" s="1613"/>
      <c r="S72" s="1614"/>
    </row>
    <row r="73" spans="1:19">
      <c r="A73" s="135"/>
      <c r="D73" s="1659" t="s">
        <v>113</v>
      </c>
      <c r="E73" s="1659"/>
      <c r="F73" s="1061"/>
      <c r="G73" s="1022"/>
      <c r="H73" s="1022"/>
      <c r="I73" s="1022"/>
      <c r="J73" s="1613"/>
      <c r="K73" s="1613"/>
      <c r="L73" s="1613"/>
      <c r="M73" s="1613"/>
      <c r="N73" s="1613"/>
      <c r="O73" s="1613"/>
      <c r="P73" s="1613"/>
      <c r="Q73" s="1613"/>
      <c r="R73" s="1613"/>
      <c r="S73" s="1614"/>
    </row>
    <row r="74" spans="1:19">
      <c r="A74" s="135"/>
      <c r="D74" s="1659" t="s">
        <v>101</v>
      </c>
      <c r="E74" s="1659"/>
      <c r="F74" s="1061"/>
      <c r="G74" s="1022"/>
      <c r="H74" s="1022"/>
      <c r="I74" s="1022"/>
      <c r="J74" s="1613"/>
      <c r="K74" s="1613"/>
      <c r="L74" s="1613"/>
      <c r="M74" s="1613"/>
      <c r="N74" s="1613"/>
      <c r="O74" s="1613"/>
      <c r="P74" s="1613"/>
      <c r="Q74" s="1613"/>
      <c r="R74" s="1613"/>
      <c r="S74" s="1614"/>
    </row>
    <row r="75" spans="1:19" ht="4.5" customHeight="1">
      <c r="A75" s="273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74"/>
    </row>
    <row r="76" spans="1:19" s="281" customFormat="1">
      <c r="A76" s="280"/>
      <c r="C76" s="382" t="s">
        <v>114</v>
      </c>
      <c r="D76" s="226"/>
      <c r="E76" s="226"/>
      <c r="G76" s="382" t="s">
        <v>82</v>
      </c>
      <c r="J76" s="382" t="s">
        <v>83</v>
      </c>
      <c r="S76" s="282"/>
    </row>
    <row r="77" spans="1:19">
      <c r="A77" s="135"/>
      <c r="D77" s="1659" t="s">
        <v>115</v>
      </c>
      <c r="E77" s="1659"/>
      <c r="F77" s="484" t="e">
        <f>H77*'Warehouse Debt'!C35</f>
        <v>#DIV/0!</v>
      </c>
      <c r="G77" s="1401"/>
      <c r="H77" s="489">
        <v>0.01</v>
      </c>
      <c r="J77" s="1613"/>
      <c r="K77" s="1613"/>
      <c r="L77" s="1613"/>
      <c r="M77" s="1613"/>
      <c r="N77" s="1613"/>
      <c r="O77" s="1613"/>
      <c r="P77" s="1613"/>
      <c r="Q77" s="1613"/>
      <c r="R77" s="1613"/>
      <c r="S77" s="1614"/>
    </row>
    <row r="78" spans="1:19">
      <c r="A78" s="135"/>
      <c r="D78" s="1659" t="s">
        <v>116</v>
      </c>
      <c r="E78" s="1659"/>
      <c r="F78" s="1061"/>
      <c r="G78" s="1022"/>
      <c r="H78" s="1022"/>
      <c r="I78" s="1022"/>
      <c r="J78" s="1613"/>
      <c r="K78" s="1613"/>
      <c r="L78" s="1613"/>
      <c r="M78" s="1613"/>
      <c r="N78" s="1613"/>
      <c r="O78" s="1613"/>
      <c r="P78" s="1613"/>
      <c r="Q78" s="1613"/>
      <c r="R78" s="1613"/>
      <c r="S78" s="1614"/>
    </row>
    <row r="79" spans="1:19">
      <c r="A79" s="135"/>
      <c r="D79" s="1659" t="s">
        <v>117</v>
      </c>
      <c r="E79" s="1659"/>
      <c r="F79" s="1061"/>
      <c r="G79" s="1022"/>
      <c r="H79" s="1022"/>
      <c r="I79" s="1022"/>
      <c r="J79" s="1613"/>
      <c r="K79" s="1613"/>
      <c r="L79" s="1613"/>
      <c r="M79" s="1613"/>
      <c r="N79" s="1613"/>
      <c r="O79" s="1613"/>
      <c r="P79" s="1613"/>
      <c r="Q79" s="1613"/>
      <c r="R79" s="1613"/>
      <c r="S79" s="1614"/>
    </row>
    <row r="80" spans="1:19">
      <c r="A80" s="135"/>
      <c r="D80" s="1659" t="s">
        <v>118</v>
      </c>
      <c r="E80" s="1659"/>
      <c r="F80" s="1061"/>
      <c r="G80" s="1022"/>
      <c r="H80" s="1022"/>
      <c r="I80" s="1022"/>
      <c r="J80" s="1613"/>
      <c r="K80" s="1613"/>
      <c r="L80" s="1613"/>
      <c r="M80" s="1613"/>
      <c r="N80" s="1613"/>
      <c r="O80" s="1613"/>
      <c r="P80" s="1613"/>
      <c r="Q80" s="1613"/>
      <c r="R80" s="1613"/>
      <c r="S80" s="1614"/>
    </row>
    <row r="81" spans="1:19">
      <c r="A81" s="135"/>
      <c r="D81" s="1659" t="s">
        <v>119</v>
      </c>
      <c r="E81" s="1659"/>
      <c r="F81" s="1061"/>
      <c r="G81" s="1022"/>
      <c r="H81" s="1022"/>
      <c r="I81" s="1022"/>
      <c r="J81" s="1613"/>
      <c r="K81" s="1613"/>
      <c r="L81" s="1613"/>
      <c r="M81" s="1613"/>
      <c r="N81" s="1613"/>
      <c r="O81" s="1613"/>
      <c r="P81" s="1613"/>
      <c r="Q81" s="1613"/>
      <c r="R81" s="1613"/>
      <c r="S81" s="1614"/>
    </row>
    <row r="82" spans="1:19">
      <c r="A82" s="135"/>
      <c r="D82" s="1659" t="s">
        <v>101</v>
      </c>
      <c r="E82" s="1659"/>
      <c r="F82" s="1061"/>
      <c r="G82" s="1022"/>
      <c r="H82" s="1022"/>
      <c r="I82" s="1022"/>
      <c r="J82" s="1613"/>
      <c r="K82" s="1613"/>
      <c r="L82" s="1613"/>
      <c r="M82" s="1613"/>
      <c r="N82" s="1613"/>
      <c r="O82" s="1613"/>
      <c r="P82" s="1613"/>
      <c r="Q82" s="1613"/>
      <c r="R82" s="1613"/>
      <c r="S82" s="1614"/>
    </row>
    <row r="83" spans="1:19" ht="4.5" customHeight="1">
      <c r="A83" s="273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74"/>
    </row>
    <row r="84" spans="1:19" s="281" customFormat="1">
      <c r="A84" s="280"/>
      <c r="C84" s="382" t="s">
        <v>120</v>
      </c>
      <c r="D84" s="226"/>
      <c r="E84" s="226"/>
      <c r="G84" s="382" t="s">
        <v>82</v>
      </c>
      <c r="J84" s="382" t="s">
        <v>83</v>
      </c>
      <c r="S84" s="282"/>
    </row>
    <row r="85" spans="1:19">
      <c r="A85" s="135"/>
      <c r="D85" s="1659" t="s">
        <v>121</v>
      </c>
      <c r="E85" s="1659"/>
      <c r="F85" s="1061"/>
      <c r="G85" s="1022"/>
      <c r="H85" s="1022"/>
      <c r="I85" s="1022"/>
      <c r="J85" s="1613"/>
      <c r="K85" s="1613"/>
      <c r="L85" s="1613"/>
      <c r="M85" s="1613"/>
      <c r="N85" s="1613"/>
      <c r="O85" s="1613"/>
      <c r="P85" s="1613"/>
      <c r="Q85" s="1613"/>
      <c r="R85" s="1613"/>
      <c r="S85" s="1614"/>
    </row>
    <row r="86" spans="1:19">
      <c r="A86" s="135"/>
      <c r="D86" s="1659" t="s">
        <v>122</v>
      </c>
      <c r="E86" s="1659"/>
      <c r="F86" s="1061"/>
      <c r="G86" s="1022"/>
      <c r="H86" s="1022"/>
      <c r="I86" s="1022"/>
      <c r="J86" s="1613"/>
      <c r="K86" s="1613"/>
      <c r="L86" s="1613"/>
      <c r="M86" s="1613"/>
      <c r="N86" s="1613"/>
      <c r="O86" s="1613"/>
      <c r="P86" s="1613"/>
      <c r="Q86" s="1613"/>
      <c r="R86" s="1613"/>
      <c r="S86" s="1614"/>
    </row>
    <row r="87" spans="1:19">
      <c r="A87" s="135"/>
      <c r="D87" s="1659" t="s">
        <v>123</v>
      </c>
      <c r="E87" s="1659"/>
      <c r="F87" s="1061"/>
      <c r="G87" s="1401"/>
      <c r="H87" s="1426">
        <v>0.14000000000000001</v>
      </c>
      <c r="J87" s="1613"/>
      <c r="K87" s="1613"/>
      <c r="L87" s="1613"/>
      <c r="M87" s="1613"/>
      <c r="N87" s="1613"/>
      <c r="O87" s="1613"/>
      <c r="P87" s="1613"/>
      <c r="Q87" s="1613"/>
      <c r="R87" s="1613"/>
      <c r="S87" s="1614"/>
    </row>
    <row r="88" spans="1:19">
      <c r="A88" s="135"/>
      <c r="D88" s="1659" t="s">
        <v>101</v>
      </c>
      <c r="E88" s="1659"/>
      <c r="F88" s="1061"/>
      <c r="G88" s="1022"/>
      <c r="H88" s="1022"/>
      <c r="I88" s="1022"/>
      <c r="J88" s="1613"/>
      <c r="K88" s="1613"/>
      <c r="L88" s="1613"/>
      <c r="M88" s="1613"/>
      <c r="N88" s="1613"/>
      <c r="O88" s="1613"/>
      <c r="P88" s="1613"/>
      <c r="Q88" s="1613"/>
      <c r="R88" s="1613"/>
      <c r="S88" s="1614"/>
    </row>
    <row r="89" spans="1:19" ht="4.5" customHeight="1">
      <c r="A89" s="273"/>
      <c r="B89" s="236"/>
      <c r="C89" s="236"/>
      <c r="D89" s="236"/>
      <c r="E89" s="236"/>
      <c r="F89" s="236"/>
      <c r="G89" s="236"/>
      <c r="H89" s="236"/>
      <c r="I89" s="236"/>
      <c r="J89" s="1665"/>
      <c r="K89" s="1665"/>
      <c r="L89" s="1665"/>
      <c r="M89" s="1665"/>
      <c r="N89" s="1665"/>
      <c r="O89" s="1665"/>
      <c r="P89" s="1665"/>
      <c r="Q89" s="1665"/>
      <c r="R89" s="1665"/>
      <c r="S89" s="1666"/>
    </row>
    <row r="90" spans="1:19" s="281" customFormat="1">
      <c r="A90" s="280"/>
      <c r="C90" s="382" t="s">
        <v>124</v>
      </c>
      <c r="D90" s="226"/>
      <c r="E90" s="226"/>
      <c r="G90" s="382" t="s">
        <v>82</v>
      </c>
      <c r="J90" s="382" t="s">
        <v>83</v>
      </c>
      <c r="S90" s="282"/>
    </row>
    <row r="91" spans="1:19">
      <c r="A91" s="135"/>
      <c r="D91" s="1659" t="s">
        <v>125</v>
      </c>
      <c r="E91" s="1659"/>
      <c r="F91" s="1428"/>
      <c r="G91" s="1022"/>
      <c r="H91" s="1022"/>
      <c r="I91" s="1022"/>
      <c r="J91" s="1664" t="s">
        <v>126</v>
      </c>
      <c r="K91" s="1662"/>
      <c r="L91" s="1662"/>
      <c r="M91" s="1662"/>
      <c r="N91" s="1662"/>
      <c r="O91" s="1662"/>
      <c r="P91" s="1662"/>
      <c r="Q91" s="1662"/>
      <c r="R91" s="1662"/>
      <c r="S91" s="1663"/>
    </row>
    <row r="92" spans="1:19">
      <c r="A92" s="135"/>
      <c r="D92" s="1659" t="s">
        <v>127</v>
      </c>
      <c r="E92" s="1659"/>
      <c r="F92" s="1061"/>
      <c r="G92" s="1022"/>
      <c r="H92" s="1022"/>
      <c r="I92" s="1022"/>
      <c r="J92" s="1613"/>
      <c r="K92" s="1613"/>
      <c r="L92" s="1613"/>
      <c r="M92" s="1613"/>
      <c r="N92" s="1613"/>
      <c r="O92" s="1613"/>
      <c r="P92" s="1613"/>
      <c r="Q92" s="1613"/>
      <c r="R92" s="1613"/>
      <c r="S92" s="1614"/>
    </row>
    <row r="93" spans="1:19">
      <c r="A93" s="135"/>
      <c r="D93" s="1659" t="s">
        <v>101</v>
      </c>
      <c r="E93" s="1659"/>
      <c r="F93" s="1061"/>
      <c r="G93" s="1022"/>
      <c r="H93" s="1022"/>
      <c r="I93" s="1022"/>
      <c r="J93" s="1613"/>
      <c r="K93" s="1613"/>
      <c r="L93" s="1613"/>
      <c r="M93" s="1613"/>
      <c r="N93" s="1613"/>
      <c r="O93" s="1613"/>
      <c r="P93" s="1613"/>
      <c r="Q93" s="1613"/>
      <c r="R93" s="1613"/>
      <c r="S93" s="1614"/>
    </row>
    <row r="94" spans="1:19" ht="4.5" customHeight="1">
      <c r="A94" s="273"/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74"/>
    </row>
    <row r="95" spans="1:19" s="281" customFormat="1">
      <c r="A95" s="280"/>
      <c r="C95" s="382" t="s">
        <v>128</v>
      </c>
      <c r="D95" s="226"/>
      <c r="E95" s="226"/>
      <c r="G95" s="382" t="s">
        <v>82</v>
      </c>
      <c r="J95" s="382" t="s">
        <v>83</v>
      </c>
      <c r="S95" s="282"/>
    </row>
    <row r="96" spans="1:19">
      <c r="A96" s="135"/>
      <c r="D96" s="1659" t="s">
        <v>129</v>
      </c>
      <c r="E96" s="1659"/>
      <c r="F96" s="485">
        <f>100*'Input Page'!$E$181</f>
        <v>0</v>
      </c>
      <c r="G96" s="1022"/>
      <c r="H96" s="1022"/>
      <c r="I96" s="1022"/>
      <c r="J96" s="1613"/>
      <c r="K96" s="1613"/>
      <c r="L96" s="1613"/>
      <c r="M96" s="1613"/>
      <c r="N96" s="1613"/>
      <c r="O96" s="1613"/>
      <c r="P96" s="1613"/>
      <c r="Q96" s="1613"/>
      <c r="R96" s="1613"/>
      <c r="S96" s="1614"/>
    </row>
    <row r="97" spans="1:19">
      <c r="A97" s="135"/>
      <c r="D97" s="1659" t="s">
        <v>130</v>
      </c>
      <c r="E97" s="1659"/>
      <c r="F97" s="1061"/>
      <c r="G97" s="1022"/>
      <c r="H97" s="1022"/>
      <c r="I97" s="1022"/>
      <c r="J97" s="1613"/>
      <c r="K97" s="1613"/>
      <c r="L97" s="1613"/>
      <c r="M97" s="1613"/>
      <c r="N97" s="1613"/>
      <c r="O97" s="1613"/>
      <c r="P97" s="1613"/>
      <c r="Q97" s="1613"/>
      <c r="R97" s="1613"/>
      <c r="S97" s="1614"/>
    </row>
    <row r="98" spans="1:19">
      <c r="A98" s="135"/>
      <c r="D98" s="1659" t="s">
        <v>101</v>
      </c>
      <c r="E98" s="1659"/>
      <c r="F98" s="1061"/>
      <c r="G98" s="1022"/>
      <c r="H98" s="1022"/>
      <c r="I98" s="1022"/>
      <c r="J98" s="1613"/>
      <c r="K98" s="1613"/>
      <c r="L98" s="1613"/>
      <c r="M98" s="1613"/>
      <c r="N98" s="1613"/>
      <c r="O98" s="1613"/>
      <c r="P98" s="1613"/>
      <c r="Q98" s="1613"/>
      <c r="R98" s="1613"/>
      <c r="S98" s="1614"/>
    </row>
    <row r="99" spans="1:19" ht="16.5" thickBot="1">
      <c r="A99" s="136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41"/>
    </row>
    <row r="100" spans="1:19" ht="16.5" thickBot="1">
      <c r="A100" s="1641" t="s">
        <v>131</v>
      </c>
      <c r="B100" s="1642"/>
      <c r="C100" s="1642"/>
      <c r="D100" s="1642"/>
      <c r="E100" s="1642"/>
      <c r="F100" s="1642"/>
      <c r="G100" s="1642"/>
      <c r="H100" s="1642"/>
      <c r="I100" s="1642"/>
      <c r="J100" s="1642"/>
      <c r="K100" s="1642"/>
      <c r="L100" s="1642"/>
      <c r="M100" s="1642"/>
      <c r="N100" s="1642"/>
      <c r="O100" s="1642"/>
      <c r="P100" s="1642"/>
      <c r="Q100" s="1642"/>
      <c r="R100" s="1642"/>
      <c r="S100" s="1643"/>
    </row>
    <row r="101" spans="1:19" s="281" customFormat="1">
      <c r="A101" s="714"/>
      <c r="B101" s="715"/>
      <c r="C101" s="706" t="s">
        <v>132</v>
      </c>
      <c r="D101" s="718"/>
      <c r="E101" s="718"/>
      <c r="F101" s="715"/>
      <c r="G101" s="706" t="s">
        <v>82</v>
      </c>
      <c r="H101" s="715"/>
      <c r="I101" s="715"/>
      <c r="J101" s="706" t="s">
        <v>83</v>
      </c>
      <c r="K101" s="715"/>
      <c r="L101" s="715"/>
      <c r="M101" s="715"/>
      <c r="N101" s="715"/>
      <c r="O101" s="715"/>
      <c r="P101" s="715"/>
      <c r="Q101" s="715"/>
      <c r="R101" s="715"/>
      <c r="S101" s="716"/>
    </row>
    <row r="102" spans="1:19">
      <c r="A102" s="135"/>
      <c r="C102" s="24"/>
      <c r="D102" s="1631" t="s">
        <v>133</v>
      </c>
      <c r="E102" s="1631"/>
      <c r="F102" s="1218"/>
      <c r="G102" s="1022"/>
      <c r="H102" s="1022"/>
      <c r="I102" s="1022"/>
      <c r="J102" s="1620" t="s">
        <v>135</v>
      </c>
      <c r="K102" s="1620"/>
      <c r="L102" s="1620"/>
      <c r="M102" s="1620"/>
      <c r="N102" s="1620"/>
      <c r="O102" s="1620"/>
      <c r="P102" s="1620"/>
      <c r="Q102" s="1620"/>
      <c r="R102" s="1620"/>
      <c r="S102" s="1621"/>
    </row>
    <row r="103" spans="1:19">
      <c r="A103" s="135"/>
      <c r="D103" s="24" t="s">
        <v>136</v>
      </c>
      <c r="G103" s="382" t="s">
        <v>82</v>
      </c>
      <c r="J103" s="24" t="s">
        <v>83</v>
      </c>
      <c r="S103" s="140"/>
    </row>
    <row r="104" spans="1:19">
      <c r="A104" s="135"/>
      <c r="D104" s="1659" t="s">
        <v>137</v>
      </c>
      <c r="E104" s="1659"/>
      <c r="F104" s="1429"/>
      <c r="G104" s="1022"/>
      <c r="H104" s="1022"/>
      <c r="I104" s="1022"/>
      <c r="J104" s="1613"/>
      <c r="K104" s="1613"/>
      <c r="L104" s="1613"/>
      <c r="M104" s="1613"/>
      <c r="N104" s="1613"/>
      <c r="O104" s="1613"/>
      <c r="P104" s="1613"/>
      <c r="Q104" s="1613"/>
      <c r="R104" s="1613"/>
      <c r="S104" s="1614"/>
    </row>
    <row r="105" spans="1:19">
      <c r="A105" s="135"/>
      <c r="S105" s="140"/>
    </row>
    <row r="106" spans="1:19">
      <c r="A106" s="135"/>
      <c r="D106" s="24" t="s">
        <v>138</v>
      </c>
      <c r="G106" s="382" t="s">
        <v>82</v>
      </c>
      <c r="J106" s="382" t="s">
        <v>83</v>
      </c>
      <c r="S106" s="140"/>
    </row>
    <row r="107" spans="1:19">
      <c r="A107" s="135"/>
      <c r="D107" s="1659" t="s">
        <v>139</v>
      </c>
      <c r="E107" s="1659"/>
      <c r="F107" s="1430"/>
      <c r="G107" s="1022"/>
      <c r="H107" s="1022"/>
      <c r="I107" s="1022"/>
      <c r="J107" s="1620" t="s">
        <v>140</v>
      </c>
      <c r="K107" s="1620"/>
      <c r="L107" s="1620"/>
      <c r="M107" s="1620"/>
      <c r="N107" s="1620"/>
      <c r="O107" s="1620"/>
      <c r="P107" s="1620"/>
      <c r="Q107" s="1620"/>
      <c r="R107" s="1620"/>
      <c r="S107" s="1621"/>
    </row>
    <row r="108" spans="1:19">
      <c r="A108" s="135"/>
      <c r="S108" s="140"/>
    </row>
    <row r="109" spans="1:19">
      <c r="A109" s="135"/>
      <c r="D109" s="24" t="s">
        <v>138</v>
      </c>
      <c r="G109" s="382" t="s">
        <v>82</v>
      </c>
      <c r="J109" s="382" t="s">
        <v>83</v>
      </c>
      <c r="S109" s="140"/>
    </row>
    <row r="110" spans="1:19">
      <c r="A110" s="135"/>
      <c r="D110" s="1659" t="s">
        <v>141</v>
      </c>
      <c r="E110" s="1659"/>
      <c r="F110" s="1431"/>
      <c r="G110" s="1022"/>
      <c r="H110" s="1022"/>
      <c r="I110" s="1022"/>
      <c r="J110" s="1620" t="s">
        <v>142</v>
      </c>
      <c r="K110" s="1620"/>
      <c r="L110" s="1620"/>
      <c r="M110" s="1620"/>
      <c r="N110" s="1620"/>
      <c r="O110" s="1620"/>
      <c r="P110" s="1620"/>
      <c r="Q110" s="1620"/>
      <c r="R110" s="1620"/>
      <c r="S110" s="1621"/>
    </row>
    <row r="111" spans="1:19">
      <c r="A111" s="135"/>
      <c r="S111" s="140"/>
    </row>
    <row r="112" spans="1:19">
      <c r="A112" s="135"/>
      <c r="D112" s="24" t="s">
        <v>143</v>
      </c>
      <c r="G112" s="382" t="s">
        <v>82</v>
      </c>
      <c r="J112" s="382" t="s">
        <v>83</v>
      </c>
      <c r="S112" s="140"/>
    </row>
    <row r="113" spans="1:19">
      <c r="A113" s="135"/>
      <c r="D113" s="1659" t="s">
        <v>144</v>
      </c>
      <c r="E113" s="1659"/>
      <c r="F113" s="1218"/>
      <c r="G113" s="1022"/>
      <c r="H113" s="1022"/>
      <c r="I113" s="1022"/>
      <c r="J113" s="1613"/>
      <c r="K113" s="1613"/>
      <c r="L113" s="1613"/>
      <c r="M113" s="1613"/>
      <c r="N113" s="1613"/>
      <c r="O113" s="1613"/>
      <c r="P113" s="1613"/>
      <c r="Q113" s="1613"/>
      <c r="R113" s="1613"/>
      <c r="S113" s="1614"/>
    </row>
    <row r="114" spans="1:19">
      <c r="A114" s="135"/>
      <c r="D114" s="1659" t="s">
        <v>145</v>
      </c>
      <c r="E114" s="1659"/>
      <c r="F114" s="1218"/>
      <c r="G114" s="1022"/>
      <c r="H114" s="1022"/>
      <c r="I114" s="1022"/>
      <c r="J114" s="1613"/>
      <c r="K114" s="1613"/>
      <c r="L114" s="1613"/>
      <c r="M114" s="1613"/>
      <c r="N114" s="1613"/>
      <c r="O114" s="1613"/>
      <c r="P114" s="1613"/>
      <c r="Q114" s="1613"/>
      <c r="R114" s="1613"/>
      <c r="S114" s="1614"/>
    </row>
    <row r="115" spans="1:19">
      <c r="A115" s="135"/>
      <c r="D115" s="1659" t="s">
        <v>146</v>
      </c>
      <c r="E115" s="1659"/>
      <c r="F115" s="1432"/>
      <c r="G115" s="1022"/>
      <c r="H115" s="1022"/>
      <c r="I115" s="1022"/>
      <c r="J115" s="1613"/>
      <c r="K115" s="1613"/>
      <c r="L115" s="1613"/>
      <c r="M115" s="1613"/>
      <c r="N115" s="1613"/>
      <c r="O115" s="1613"/>
      <c r="P115" s="1613"/>
      <c r="Q115" s="1613"/>
      <c r="R115" s="1613"/>
      <c r="S115" s="1614"/>
    </row>
    <row r="116" spans="1:19">
      <c r="A116" s="135"/>
      <c r="D116" s="1659" t="s">
        <v>147</v>
      </c>
      <c r="E116" s="1659"/>
      <c r="F116" s="1218"/>
      <c r="G116" s="1022"/>
      <c r="H116" s="1022"/>
      <c r="I116" s="1022"/>
      <c r="J116" s="1620" t="s">
        <v>148</v>
      </c>
      <c r="K116" s="1620"/>
      <c r="L116" s="1620"/>
      <c r="M116" s="1620"/>
      <c r="N116" s="1620"/>
      <c r="O116" s="1620"/>
      <c r="P116" s="1620"/>
      <c r="Q116" s="1620"/>
      <c r="R116" s="1620"/>
      <c r="S116" s="1621"/>
    </row>
    <row r="117" spans="1:19">
      <c r="A117" s="135"/>
      <c r="S117" s="140"/>
    </row>
    <row r="118" spans="1:19">
      <c r="A118" s="135"/>
      <c r="D118" s="24" t="s">
        <v>149</v>
      </c>
      <c r="G118" s="382" t="s">
        <v>82</v>
      </c>
      <c r="J118" s="382" t="s">
        <v>83</v>
      </c>
      <c r="S118" s="140"/>
    </row>
    <row r="119" spans="1:19">
      <c r="A119" s="135"/>
      <c r="D119" s="1659" t="s">
        <v>150</v>
      </c>
      <c r="E119" s="1659"/>
      <c r="F119" s="1218">
        <v>3</v>
      </c>
      <c r="G119" s="1022"/>
      <c r="H119" s="1022"/>
      <c r="I119" s="1022"/>
      <c r="J119" s="1620" t="s">
        <v>151</v>
      </c>
      <c r="K119" s="1620"/>
      <c r="L119" s="1620"/>
      <c r="M119" s="1620"/>
      <c r="N119" s="1620"/>
      <c r="O119" s="1620"/>
      <c r="P119" s="1620"/>
      <c r="Q119" s="1620"/>
      <c r="R119" s="1620"/>
      <c r="S119" s="1621"/>
    </row>
    <row r="120" spans="1:19" ht="4.5" customHeight="1">
      <c r="A120" s="273"/>
      <c r="B120" s="236"/>
      <c r="C120" s="236"/>
      <c r="D120" s="283"/>
      <c r="E120" s="283"/>
      <c r="F120" s="236"/>
      <c r="G120" s="236"/>
      <c r="H120" s="236"/>
      <c r="I120" s="236"/>
      <c r="J120" s="1403"/>
      <c r="K120" s="1403"/>
      <c r="L120" s="1403"/>
      <c r="M120" s="1403"/>
      <c r="N120" s="1403"/>
      <c r="O120" s="1403"/>
      <c r="P120" s="1403"/>
      <c r="Q120" s="1403"/>
      <c r="R120" s="1403"/>
      <c r="S120" s="1404"/>
    </row>
    <row r="121" spans="1:19" s="281" customFormat="1">
      <c r="A121" s="280"/>
      <c r="C121" s="382" t="s">
        <v>152</v>
      </c>
      <c r="D121" s="708"/>
      <c r="E121" s="708"/>
      <c r="G121" s="382" t="s">
        <v>82</v>
      </c>
      <c r="J121" s="382" t="s">
        <v>83</v>
      </c>
      <c r="S121" s="282"/>
    </row>
    <row r="122" spans="1:19">
      <c r="A122" s="135"/>
      <c r="C122" s="1417"/>
      <c r="D122" s="1631" t="s">
        <v>133</v>
      </c>
      <c r="E122" s="1631"/>
      <c r="F122" s="1218"/>
      <c r="G122" s="1022"/>
      <c r="H122" s="1022"/>
      <c r="I122" s="1022"/>
      <c r="J122" s="1620" t="s">
        <v>135</v>
      </c>
      <c r="K122" s="1620"/>
      <c r="L122" s="1620"/>
      <c r="M122" s="1620"/>
      <c r="N122" s="1620"/>
      <c r="O122" s="1620"/>
      <c r="P122" s="1620"/>
      <c r="Q122" s="1620"/>
      <c r="R122" s="1620"/>
      <c r="S122" s="1621"/>
    </row>
    <row r="123" spans="1:19">
      <c r="A123" s="135"/>
      <c r="C123" s="24"/>
      <c r="D123" s="1060"/>
      <c r="E123" s="1060"/>
      <c r="F123" s="15"/>
      <c r="G123" s="1401"/>
      <c r="H123" s="1401"/>
      <c r="I123" s="1401"/>
      <c r="J123" s="1613"/>
      <c r="K123" s="1613"/>
      <c r="L123" s="1613"/>
      <c r="M123" s="1613"/>
      <c r="N123" s="1613"/>
      <c r="O123" s="1613"/>
      <c r="P123" s="1613"/>
      <c r="Q123" s="1613"/>
      <c r="R123" s="1613"/>
      <c r="S123" s="1614"/>
    </row>
    <row r="124" spans="1:19">
      <c r="A124" s="135"/>
      <c r="D124" s="24" t="s">
        <v>136</v>
      </c>
      <c r="G124" s="382" t="s">
        <v>82</v>
      </c>
      <c r="J124" s="382" t="s">
        <v>83</v>
      </c>
      <c r="S124" s="140"/>
    </row>
    <row r="125" spans="1:19">
      <c r="A125" s="135"/>
      <c r="D125" s="1659" t="s">
        <v>137</v>
      </c>
      <c r="E125" s="1659"/>
      <c r="F125" s="1429"/>
      <c r="G125" s="1022"/>
      <c r="H125" s="1022"/>
      <c r="I125" s="1022"/>
      <c r="J125" s="1620" t="s">
        <v>153</v>
      </c>
      <c r="K125" s="1620"/>
      <c r="L125" s="1620"/>
      <c r="M125" s="1620"/>
      <c r="N125" s="1620"/>
      <c r="O125" s="1620"/>
      <c r="P125" s="1620"/>
      <c r="Q125" s="1620"/>
      <c r="R125" s="1620"/>
      <c r="S125" s="1621"/>
    </row>
    <row r="126" spans="1:19">
      <c r="A126" s="135"/>
      <c r="S126" s="140"/>
    </row>
    <row r="127" spans="1:19">
      <c r="A127" s="135"/>
      <c r="D127" s="24" t="s">
        <v>138</v>
      </c>
      <c r="G127" s="382" t="s">
        <v>82</v>
      </c>
      <c r="J127" s="382" t="s">
        <v>83</v>
      </c>
      <c r="S127" s="140"/>
    </row>
    <row r="128" spans="1:19">
      <c r="A128" s="135"/>
      <c r="D128" s="1659" t="s">
        <v>139</v>
      </c>
      <c r="E128" s="1659"/>
      <c r="F128" s="1430"/>
      <c r="G128" s="1022"/>
      <c r="H128" s="1022"/>
      <c r="I128" s="1022"/>
      <c r="J128" s="1620" t="s">
        <v>140</v>
      </c>
      <c r="K128" s="1620"/>
      <c r="L128" s="1620"/>
      <c r="M128" s="1620"/>
      <c r="N128" s="1620"/>
      <c r="O128" s="1620"/>
      <c r="P128" s="1620"/>
      <c r="Q128" s="1620"/>
      <c r="R128" s="1620"/>
      <c r="S128" s="1621"/>
    </row>
    <row r="129" spans="1:28">
      <c r="A129" s="135"/>
      <c r="S129" s="140"/>
    </row>
    <row r="130" spans="1:28">
      <c r="A130" s="135"/>
      <c r="D130" s="24" t="s">
        <v>154</v>
      </c>
      <c r="G130" s="382" t="s">
        <v>82</v>
      </c>
      <c r="J130" s="382" t="s">
        <v>83</v>
      </c>
      <c r="S130" s="140"/>
    </row>
    <row r="131" spans="1:28">
      <c r="A131" s="135"/>
      <c r="D131" s="1659" t="s">
        <v>155</v>
      </c>
      <c r="E131" s="1659"/>
      <c r="F131" s="1431"/>
      <c r="G131" s="1022"/>
      <c r="H131" s="1022"/>
      <c r="I131" s="1022"/>
      <c r="J131" s="1620" t="s">
        <v>142</v>
      </c>
      <c r="K131" s="1620"/>
      <c r="L131" s="1620"/>
      <c r="M131" s="1620"/>
      <c r="N131" s="1620"/>
      <c r="O131" s="1620"/>
      <c r="P131" s="1620"/>
      <c r="Q131" s="1620"/>
      <c r="R131" s="1620"/>
      <c r="S131" s="1621"/>
    </row>
    <row r="132" spans="1:28">
      <c r="A132" s="135"/>
      <c r="D132" s="691"/>
      <c r="E132" s="691"/>
      <c r="S132" s="140"/>
    </row>
    <row r="133" spans="1:28">
      <c r="A133" s="135"/>
      <c r="D133" s="24" t="s">
        <v>143</v>
      </c>
      <c r="G133" s="382" t="s">
        <v>82</v>
      </c>
      <c r="J133" s="382" t="s">
        <v>83</v>
      </c>
      <c r="S133" s="140"/>
    </row>
    <row r="134" spans="1:28" ht="16.5" thickBot="1">
      <c r="A134" s="135"/>
      <c r="D134" s="1659" t="s">
        <v>144</v>
      </c>
      <c r="E134" s="1659"/>
      <c r="F134" s="1218"/>
      <c r="G134" s="1022"/>
      <c r="H134" s="1022"/>
      <c r="I134" s="1022"/>
      <c r="J134" s="1620" t="s">
        <v>156</v>
      </c>
      <c r="K134" s="1620"/>
      <c r="L134" s="1620"/>
      <c r="M134" s="1620"/>
      <c r="N134" s="1620"/>
      <c r="O134" s="1620"/>
      <c r="P134" s="1620"/>
      <c r="Q134" s="1620"/>
      <c r="R134" s="1620"/>
      <c r="S134" s="1621"/>
    </row>
    <row r="135" spans="1:28" ht="16.5" thickBot="1">
      <c r="A135" s="135"/>
      <c r="D135" s="1659" t="s">
        <v>145</v>
      </c>
      <c r="E135" s="1659"/>
      <c r="F135" s="1218"/>
      <c r="G135" s="1022"/>
      <c r="H135" s="1022"/>
      <c r="I135" s="1022"/>
      <c r="J135" s="1620" t="s">
        <v>157</v>
      </c>
      <c r="K135" s="1620"/>
      <c r="L135" s="1620"/>
      <c r="M135" s="1620"/>
      <c r="N135" s="1620"/>
      <c r="O135" s="1620"/>
      <c r="P135" s="1620"/>
      <c r="Q135" s="1620"/>
      <c r="R135" s="1620"/>
      <c r="S135" s="1621"/>
      <c r="V135" s="1615" t="s">
        <v>158</v>
      </c>
      <c r="W135" s="1616"/>
      <c r="X135" s="1616"/>
      <c r="Y135" s="1616"/>
      <c r="Z135" s="1616"/>
      <c r="AA135" s="1616"/>
      <c r="AB135" s="1617"/>
    </row>
    <row r="136" spans="1:28">
      <c r="A136" s="135"/>
      <c r="D136" s="1659" t="s">
        <v>146</v>
      </c>
      <c r="E136" s="1659"/>
      <c r="F136" s="1430"/>
      <c r="G136" s="1022"/>
      <c r="H136" s="1022"/>
      <c r="I136" s="1022"/>
      <c r="J136" s="1620" t="s">
        <v>157</v>
      </c>
      <c r="K136" s="1620"/>
      <c r="L136" s="1620"/>
      <c r="M136" s="1620"/>
      <c r="N136" s="1620"/>
      <c r="O136" s="1620"/>
      <c r="P136" s="1620"/>
      <c r="Q136" s="1620"/>
      <c r="R136" s="1620"/>
      <c r="S136" s="1621"/>
      <c r="V136" s="675"/>
      <c r="W136" s="676" t="s">
        <v>159</v>
      </c>
      <c r="X136" s="677">
        <f>ROUNDUP(E170*0.51,0)</f>
        <v>0</v>
      </c>
      <c r="Y136" s="678" t="s">
        <v>160</v>
      </c>
      <c r="Z136" s="678"/>
      <c r="AA136" s="678"/>
      <c r="AB136" s="679"/>
    </row>
    <row r="137" spans="1:28">
      <c r="A137" s="135"/>
      <c r="D137" s="1659" t="s">
        <v>147</v>
      </c>
      <c r="E137" s="1659"/>
      <c r="F137" s="15"/>
      <c r="G137" s="1022"/>
      <c r="H137" s="1022"/>
      <c r="I137" s="1022"/>
      <c r="J137" s="1620" t="s">
        <v>148</v>
      </c>
      <c r="K137" s="1620"/>
      <c r="L137" s="1620"/>
      <c r="M137" s="1620"/>
      <c r="N137" s="1620"/>
      <c r="O137" s="1620"/>
      <c r="P137" s="1620"/>
      <c r="Q137" s="1620"/>
      <c r="R137" s="1620"/>
      <c r="S137" s="1621"/>
      <c r="V137" s="1610" t="s">
        <v>161</v>
      </c>
      <c r="W137" s="1611"/>
      <c r="X137" s="1611"/>
      <c r="Y137" s="1611"/>
      <c r="Z137" s="1611"/>
      <c r="AA137" s="1611"/>
      <c r="AB137" s="1612"/>
    </row>
    <row r="138" spans="1:28">
      <c r="A138" s="135"/>
      <c r="S138" s="140"/>
      <c r="V138" s="135" t="s">
        <v>162</v>
      </c>
      <c r="AB138" s="140"/>
    </row>
    <row r="139" spans="1:28">
      <c r="A139" s="135"/>
      <c r="D139" s="24" t="s">
        <v>163</v>
      </c>
      <c r="J139" s="382" t="s">
        <v>83</v>
      </c>
      <c r="S139" s="140"/>
      <c r="V139" s="135"/>
      <c r="AB139" s="140"/>
    </row>
    <row r="140" spans="1:28">
      <c r="A140" s="135"/>
      <c r="D140" s="24"/>
      <c r="E140" s="691" t="s">
        <v>164</v>
      </c>
      <c r="F140" s="1431"/>
      <c r="J140" s="1620" t="s">
        <v>165</v>
      </c>
      <c r="K140" s="1620"/>
      <c r="L140" s="1620"/>
      <c r="M140" s="1620"/>
      <c r="N140" s="1620"/>
      <c r="O140" s="1620"/>
      <c r="P140" s="1620"/>
      <c r="Q140" s="1620"/>
      <c r="R140" s="1620"/>
      <c r="S140" s="1621"/>
      <c r="V140" s="135" t="s">
        <v>166</v>
      </c>
      <c r="W140" s="15">
        <v>100</v>
      </c>
      <c r="X140" s="7" t="s">
        <v>167</v>
      </c>
      <c r="AB140" s="140"/>
    </row>
    <row r="141" spans="1:28">
      <c r="A141" s="135"/>
      <c r="S141" s="140"/>
      <c r="V141" s="135"/>
      <c r="AB141" s="140"/>
    </row>
    <row r="142" spans="1:28">
      <c r="A142" s="135"/>
      <c r="D142" s="24" t="s">
        <v>149</v>
      </c>
      <c r="G142" s="382" t="s">
        <v>82</v>
      </c>
      <c r="J142" s="382" t="s">
        <v>83</v>
      </c>
      <c r="S142" s="140"/>
      <c r="V142" s="135" t="s">
        <v>168</v>
      </c>
      <c r="AB142" s="140"/>
    </row>
    <row r="143" spans="1:28">
      <c r="A143" s="135"/>
      <c r="D143" s="1659" t="s">
        <v>150</v>
      </c>
      <c r="E143" s="1659"/>
      <c r="F143" s="1218"/>
      <c r="G143" s="1022"/>
      <c r="H143" s="1022"/>
      <c r="I143" s="1022"/>
      <c r="J143" s="1620" t="s">
        <v>157</v>
      </c>
      <c r="K143" s="1620"/>
      <c r="L143" s="1620"/>
      <c r="M143" s="1620"/>
      <c r="N143" s="1620"/>
      <c r="O143" s="1620"/>
      <c r="P143" s="1620"/>
      <c r="Q143" s="1620"/>
      <c r="R143" s="1620"/>
      <c r="S143" s="1621"/>
      <c r="V143" s="135" t="s">
        <v>169</v>
      </c>
      <c r="AB143" s="140"/>
    </row>
    <row r="144" spans="1:28" ht="16.5" thickBot="1">
      <c r="A144" s="136"/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41"/>
      <c r="V144" s="135" t="s">
        <v>170</v>
      </c>
      <c r="AB144" s="140"/>
    </row>
    <row r="145" spans="1:39" ht="16.5" thickBot="1">
      <c r="V145" s="135"/>
      <c r="AB145" s="140"/>
    </row>
    <row r="146" spans="1:39" ht="16.5" thickBot="1">
      <c r="A146" s="1641" t="s">
        <v>171</v>
      </c>
      <c r="B146" s="1642"/>
      <c r="C146" s="1642"/>
      <c r="D146" s="1642"/>
      <c r="E146" s="1642"/>
      <c r="F146" s="1642"/>
      <c r="G146" s="1642"/>
      <c r="H146" s="1642"/>
      <c r="I146" s="1642"/>
      <c r="J146" s="1642"/>
      <c r="K146" s="1642"/>
      <c r="L146" s="1642"/>
      <c r="M146" s="1642"/>
      <c r="N146" s="1642"/>
      <c r="O146" s="1642"/>
      <c r="P146" s="1642"/>
      <c r="Q146" s="1642"/>
      <c r="R146" s="1642"/>
      <c r="S146" s="1643"/>
      <c r="V146" s="135" t="s">
        <v>172</v>
      </c>
      <c r="AB146" s="140"/>
    </row>
    <row r="147" spans="1:39" ht="16.5" thickBot="1">
      <c r="A147" s="669"/>
      <c r="B147" s="670"/>
      <c r="C147" s="670"/>
      <c r="D147" s="670"/>
      <c r="E147" s="670"/>
      <c r="F147" s="670"/>
      <c r="G147" s="670"/>
      <c r="H147" s="670"/>
      <c r="I147" s="670"/>
      <c r="J147" s="670"/>
      <c r="K147" s="670"/>
      <c r="L147" s="670"/>
      <c r="M147" s="670"/>
      <c r="N147" s="670"/>
      <c r="O147" s="671"/>
      <c r="P147" s="670"/>
      <c r="Q147" s="670"/>
      <c r="R147" s="670"/>
      <c r="S147" s="672"/>
      <c r="V147" s="135" t="s">
        <v>173</v>
      </c>
      <c r="AB147" s="140"/>
    </row>
    <row r="148" spans="1:39" ht="16.5" thickBot="1">
      <c r="A148" s="135"/>
      <c r="G148" s="691" t="s">
        <v>174</v>
      </c>
      <c r="H148" s="1219">
        <v>1.4</v>
      </c>
      <c r="O148" s="1208">
        <f>F35</f>
        <v>0</v>
      </c>
      <c r="S148" s="140"/>
      <c r="V148" s="136"/>
      <c r="W148" s="139"/>
      <c r="X148" s="139"/>
      <c r="Y148" s="139"/>
      <c r="Z148" s="139"/>
      <c r="AA148" s="139"/>
      <c r="AB148" s="141"/>
    </row>
    <row r="149" spans="1:39" ht="48.75" thickBot="1">
      <c r="A149" s="674"/>
      <c r="B149" s="1087" t="s">
        <v>175</v>
      </c>
      <c r="C149" s="1087" t="s">
        <v>176</v>
      </c>
      <c r="D149" s="1087" t="s">
        <v>177</v>
      </c>
      <c r="E149" s="1087" t="s">
        <v>178</v>
      </c>
      <c r="F149" s="1087" t="s">
        <v>179</v>
      </c>
      <c r="G149" s="1087" t="s">
        <v>180</v>
      </c>
      <c r="H149" s="1087" t="s">
        <v>181</v>
      </c>
      <c r="I149" s="1088" t="s">
        <v>182</v>
      </c>
      <c r="J149" s="1088" t="s">
        <v>183</v>
      </c>
      <c r="K149" s="1089" t="s">
        <v>184</v>
      </c>
      <c r="L149" s="1090" t="s">
        <v>185</v>
      </c>
      <c r="M149" s="1090" t="s">
        <v>186</v>
      </c>
      <c r="N149" s="1090" t="s">
        <v>187</v>
      </c>
      <c r="O149" s="1091" t="s">
        <v>188</v>
      </c>
      <c r="P149" s="1092" t="s">
        <v>189</v>
      </c>
      <c r="Q149" s="1093" t="s">
        <v>190</v>
      </c>
      <c r="R149" s="1575" t="s">
        <v>191</v>
      </c>
      <c r="S149" s="668">
        <f>O148</f>
        <v>0</v>
      </c>
      <c r="T149" s="1672"/>
      <c r="U149" s="1672"/>
      <c r="V149" s="1672"/>
      <c r="W149" s="1672"/>
      <c r="X149" s="1672"/>
      <c r="Y149" s="1672"/>
      <c r="Z149" s="1672"/>
      <c r="AA149" s="1672"/>
      <c r="AB149" s="1672"/>
    </row>
    <row r="150" spans="1:39" ht="48" thickBot="1">
      <c r="A150" s="135"/>
      <c r="B150" s="1075" t="s">
        <v>192</v>
      </c>
      <c r="C150" s="1075"/>
      <c r="D150" s="673"/>
      <c r="E150" s="433"/>
      <c r="F150" s="433"/>
      <c r="G150" s="1097" t="str">
        <f>CONCATENATE("Current HAP Rents As Of - ",TEXT(F40,"mmm-yy"))</f>
        <v>Current HAP Rents As Of - Jan-00</v>
      </c>
      <c r="H150" s="1097" t="s">
        <v>193</v>
      </c>
      <c r="I150" s="1209"/>
      <c r="J150" s="1135"/>
      <c r="K150" s="55"/>
      <c r="L150" s="1134"/>
      <c r="M150" s="1097"/>
      <c r="N150" s="33"/>
      <c r="O150" s="1135"/>
      <c r="P150" s="1226"/>
      <c r="Q150" s="1227"/>
      <c r="R150" s="1086">
        <v>1.4</v>
      </c>
      <c r="S150" s="665">
        <v>1.5</v>
      </c>
      <c r="T150" s="717" t="s">
        <v>194</v>
      </c>
      <c r="U150" s="666"/>
      <c r="V150" s="667" t="s">
        <v>194</v>
      </c>
      <c r="W150"/>
      <c r="X150" s="89"/>
      <c r="Y150" s="994" t="s">
        <v>195</v>
      </c>
      <c r="Z150" s="994" t="s">
        <v>196</v>
      </c>
      <c r="AA150" s="994" t="s">
        <v>197</v>
      </c>
      <c r="AB150" s="994" t="s">
        <v>187</v>
      </c>
    </row>
    <row r="151" spans="1:39">
      <c r="A151" s="135"/>
      <c r="B151" s="1218"/>
      <c r="C151" s="1218"/>
      <c r="D151" s="1077"/>
      <c r="E151" s="1428"/>
      <c r="F151" s="1428"/>
      <c r="G151" s="1428"/>
      <c r="H151" s="1540"/>
      <c r="I151" s="1210">
        <f>G151*$H$148</f>
        <v>0</v>
      </c>
      <c r="K151" s="495"/>
      <c r="L151" s="485" t="str">
        <f t="shared" ref="L151:L157" si="0">IF(B151="","",K151+I151)</f>
        <v/>
      </c>
      <c r="M151" s="494" t="str">
        <f>IF(B151="","",INDEX($Y$151:$Y$156,MATCH(B151,$X$151:$X$156,0)))</f>
        <v/>
      </c>
      <c r="N151" s="1078" t="str">
        <f>IF(B151="","",INDEX($AB$151:$AB$156,MATCH(B151,$X$151:$X$156,0)))</f>
        <v/>
      </c>
      <c r="O151" s="1436"/>
      <c r="P151" s="584" t="str">
        <f>IF(O151="","",O151*1.4)</f>
        <v/>
      </c>
      <c r="Q151" s="482" t="str">
        <f>IF(O151="","",O151*1.5)</f>
        <v/>
      </c>
      <c r="R151" s="1221" t="str">
        <f>IF(P151="","",IF(I151&gt;P151,"HUD WAIVER","GOOD"))</f>
        <v/>
      </c>
      <c r="S151" s="1143" t="str">
        <f>IF(Q151="","",IF(I151&gt;Q151,"APPRAISAL RENTS","GOOD"))</f>
        <v/>
      </c>
      <c r="T151" s="545">
        <f>G151*E151*12</f>
        <v>0</v>
      </c>
      <c r="U151" s="545"/>
      <c r="V151" s="664">
        <f>I151*E151*12</f>
        <v>0</v>
      </c>
      <c r="W151"/>
      <c r="X151" s="15" t="s">
        <v>49</v>
      </c>
      <c r="Y151" s="485">
        <f>'Input Page'!AC178</f>
        <v>0</v>
      </c>
      <c r="Z151" s="485">
        <f>AE178</f>
        <v>0</v>
      </c>
      <c r="AA151" s="485">
        <f>AI178</f>
        <v>0</v>
      </c>
      <c r="AB151" s="485">
        <f>'Input Page'!AK178</f>
        <v>0</v>
      </c>
    </row>
    <row r="152" spans="1:39">
      <c r="A152" s="135"/>
      <c r="B152" s="1218"/>
      <c r="C152" s="1218"/>
      <c r="D152" s="1077"/>
      <c r="E152" s="1428"/>
      <c r="F152" s="1428"/>
      <c r="G152" s="1428"/>
      <c r="H152" s="1541"/>
      <c r="I152" s="1211">
        <f t="shared" ref="I152:I153" si="1">G152*$H$148</f>
        <v>0</v>
      </c>
      <c r="K152" s="495"/>
      <c r="L152" s="485" t="str">
        <f t="shared" si="0"/>
        <v/>
      </c>
      <c r="M152" s="494" t="str">
        <f>IF(B152="","",INDEX($Y$151:$Y$156,MATCH(B152,$X$151:$X$156,0)))</f>
        <v/>
      </c>
      <c r="N152" s="1078" t="str">
        <f t="shared" ref="N152:N169" si="2">IF(B152="","",INDEX($AB$151:$AB$156,MATCH(B152,$X$151:$X$156,0)))</f>
        <v/>
      </c>
      <c r="O152" s="1436"/>
      <c r="P152" s="494" t="str">
        <f t="shared" ref="P152:P158" si="3">IF(O152="","",O152*1.4)</f>
        <v/>
      </c>
      <c r="Q152" s="485" t="str">
        <f t="shared" ref="Q152:Q158" si="4">IF(O152="","",O152*1.5)</f>
        <v/>
      </c>
      <c r="R152" s="1222" t="str">
        <f t="shared" ref="R152:R158" si="5">IF(P152="","",IF(I152&gt;P152,"HUD WAIVER","GOOD"))</f>
        <v/>
      </c>
      <c r="S152" s="1144" t="str">
        <f t="shared" ref="S152:S158" si="6">IF(Q152="","",IF(I152&gt;Q152,"APPRAISAL RENTS","GOOD"))</f>
        <v/>
      </c>
      <c r="T152" s="545">
        <f>G152*E152*12</f>
        <v>0</v>
      </c>
      <c r="U152" s="545"/>
      <c r="V152" s="664">
        <f t="shared" ref="V152:V179" si="7">I152*E152*12</f>
        <v>0</v>
      </c>
      <c r="W152"/>
      <c r="X152" s="15" t="s">
        <v>52</v>
      </c>
      <c r="Y152" s="485">
        <f>'Input Page'!AC179</f>
        <v>0</v>
      </c>
      <c r="Z152" s="485">
        <f t="shared" ref="Z152:Z156" si="8">AE179</f>
        <v>0</v>
      </c>
      <c r="AA152" s="485">
        <f t="shared" ref="AA152:AA156" si="9">AI179</f>
        <v>0</v>
      </c>
      <c r="AB152" s="485">
        <f>'Input Page'!AK179</f>
        <v>0</v>
      </c>
    </row>
    <row r="153" spans="1:39">
      <c r="A153" s="135"/>
      <c r="B153" s="1218"/>
      <c r="C153" s="1218"/>
      <c r="D153" s="1077"/>
      <c r="E153" s="1428"/>
      <c r="F153" s="1428"/>
      <c r="G153" s="1428"/>
      <c r="H153" s="1541"/>
      <c r="I153" s="1211">
        <f t="shared" si="1"/>
        <v>0</v>
      </c>
      <c r="K153" s="495"/>
      <c r="L153" s="485" t="str">
        <f t="shared" si="0"/>
        <v/>
      </c>
      <c r="M153" s="494" t="str">
        <f t="shared" ref="M153:M158" si="10">IF(B153="","",INDEX($Y$151:$Y$156,MATCH(B153,$X$151:$X$156,0)))</f>
        <v/>
      </c>
      <c r="N153" s="1078" t="str">
        <f t="shared" si="2"/>
        <v/>
      </c>
      <c r="O153" s="1436"/>
      <c r="P153" s="494" t="str">
        <f t="shared" si="3"/>
        <v/>
      </c>
      <c r="Q153" s="485" t="str">
        <f t="shared" si="4"/>
        <v/>
      </c>
      <c r="R153" s="1222" t="str">
        <f t="shared" si="5"/>
        <v/>
      </c>
      <c r="S153" s="1144" t="str">
        <f t="shared" si="6"/>
        <v/>
      </c>
      <c r="T153" s="545">
        <f t="shared" ref="T153:T179" si="11">G153*E153*12</f>
        <v>0</v>
      </c>
      <c r="U153" s="545"/>
      <c r="V153" s="664">
        <f t="shared" si="7"/>
        <v>0</v>
      </c>
      <c r="W153"/>
      <c r="X153" s="15" t="s">
        <v>54</v>
      </c>
      <c r="Y153" s="485">
        <f>'Input Page'!AC180</f>
        <v>0</v>
      </c>
      <c r="Z153" s="485">
        <f t="shared" si="8"/>
        <v>0</v>
      </c>
      <c r="AA153" s="485">
        <f t="shared" si="9"/>
        <v>0</v>
      </c>
      <c r="AB153" s="485">
        <f>'Input Page'!AK180</f>
        <v>0</v>
      </c>
    </row>
    <row r="154" spans="1:39">
      <c r="A154" s="135"/>
      <c r="B154" s="1218"/>
      <c r="C154" s="1218"/>
      <c r="D154" s="1077"/>
      <c r="E154" s="1428"/>
      <c r="F154" s="1428"/>
      <c r="G154" s="1428"/>
      <c r="H154" s="1428"/>
      <c r="I154" s="1211">
        <f t="shared" ref="I154:I158" si="12">IF(E154=0,0,IF($H$148&gt;0,G154*$H$148,G154+H154))</f>
        <v>0</v>
      </c>
      <c r="K154" s="495" t="str">
        <f t="shared" ref="K154:K169" si="13">IF(B154="","",INDEX($Y$197:$AD$197,MATCH(B154,$Y$187:$AD$187,0)))</f>
        <v/>
      </c>
      <c r="L154" s="485" t="str">
        <f t="shared" si="0"/>
        <v/>
      </c>
      <c r="M154" s="494" t="str">
        <f t="shared" si="10"/>
        <v/>
      </c>
      <c r="N154" s="1078" t="str">
        <f t="shared" si="2"/>
        <v/>
      </c>
      <c r="O154" s="1436"/>
      <c r="P154" s="494" t="str">
        <f t="shared" si="3"/>
        <v/>
      </c>
      <c r="Q154" s="485" t="str">
        <f t="shared" si="4"/>
        <v/>
      </c>
      <c r="R154" s="1222" t="str">
        <f t="shared" si="5"/>
        <v/>
      </c>
      <c r="S154" s="1144" t="str">
        <f t="shared" si="6"/>
        <v/>
      </c>
      <c r="T154" s="545">
        <f t="shared" si="11"/>
        <v>0</v>
      </c>
      <c r="U154" s="545"/>
      <c r="V154" s="664">
        <f t="shared" si="7"/>
        <v>0</v>
      </c>
      <c r="W154"/>
      <c r="X154" s="15" t="s">
        <v>57</v>
      </c>
      <c r="Y154" s="485">
        <f>'Input Page'!AC181</f>
        <v>0</v>
      </c>
      <c r="Z154" s="485">
        <f t="shared" si="8"/>
        <v>0</v>
      </c>
      <c r="AA154" s="485">
        <f t="shared" si="9"/>
        <v>0</v>
      </c>
      <c r="AB154" s="485">
        <f>'Input Page'!AK181</f>
        <v>0</v>
      </c>
    </row>
    <row r="155" spans="1:39">
      <c r="A155" s="135"/>
      <c r="B155" s="1218"/>
      <c r="C155" s="1218"/>
      <c r="D155" s="1077"/>
      <c r="E155" s="1428"/>
      <c r="F155" s="1428"/>
      <c r="G155" s="1428"/>
      <c r="H155" s="1428"/>
      <c r="I155" s="1211">
        <f t="shared" si="12"/>
        <v>0</v>
      </c>
      <c r="K155" s="495" t="str">
        <f t="shared" si="13"/>
        <v/>
      </c>
      <c r="L155" s="485" t="str">
        <f t="shared" si="0"/>
        <v/>
      </c>
      <c r="M155" s="494" t="str">
        <f t="shared" si="10"/>
        <v/>
      </c>
      <c r="N155" s="1078" t="str">
        <f t="shared" si="2"/>
        <v/>
      </c>
      <c r="O155" s="1436"/>
      <c r="P155" s="494" t="str">
        <f t="shared" si="3"/>
        <v/>
      </c>
      <c r="Q155" s="485" t="str">
        <f t="shared" si="4"/>
        <v/>
      </c>
      <c r="R155" s="1222" t="str">
        <f t="shared" si="5"/>
        <v/>
      </c>
      <c r="S155" s="1144" t="str">
        <f t="shared" si="6"/>
        <v/>
      </c>
      <c r="T155" s="545">
        <f t="shared" si="11"/>
        <v>0</v>
      </c>
      <c r="U155" s="545"/>
      <c r="V155" s="664">
        <f t="shared" si="7"/>
        <v>0</v>
      </c>
      <c r="W155"/>
      <c r="X155" s="15" t="s">
        <v>59</v>
      </c>
      <c r="Y155" s="485">
        <f>'Input Page'!AC182</f>
        <v>0</v>
      </c>
      <c r="Z155" s="485">
        <f t="shared" si="8"/>
        <v>0</v>
      </c>
      <c r="AA155" s="485">
        <f t="shared" si="9"/>
        <v>0</v>
      </c>
      <c r="AB155" s="485">
        <f>'Input Page'!AK182</f>
        <v>0</v>
      </c>
    </row>
    <row r="156" spans="1:39">
      <c r="A156" s="135"/>
      <c r="B156" s="1218"/>
      <c r="C156" s="1218"/>
      <c r="D156" s="1077"/>
      <c r="E156" s="1428"/>
      <c r="F156" s="1428"/>
      <c r="G156" s="1428"/>
      <c r="H156" s="1428"/>
      <c r="I156" s="1211">
        <f t="shared" si="12"/>
        <v>0</v>
      </c>
      <c r="K156" s="495" t="str">
        <f t="shared" si="13"/>
        <v/>
      </c>
      <c r="L156" s="485" t="str">
        <f t="shared" si="0"/>
        <v/>
      </c>
      <c r="M156" s="494" t="str">
        <f t="shared" si="10"/>
        <v/>
      </c>
      <c r="N156" s="1078" t="str">
        <f t="shared" si="2"/>
        <v/>
      </c>
      <c r="O156" s="1436"/>
      <c r="P156" s="494" t="str">
        <f t="shared" si="3"/>
        <v/>
      </c>
      <c r="Q156" s="485" t="str">
        <f t="shared" si="4"/>
        <v/>
      </c>
      <c r="R156" s="1222" t="str">
        <f t="shared" si="5"/>
        <v/>
      </c>
      <c r="S156" s="1144" t="str">
        <f t="shared" si="6"/>
        <v/>
      </c>
      <c r="T156" s="545">
        <f t="shared" si="11"/>
        <v>0</v>
      </c>
      <c r="U156" s="545"/>
      <c r="V156" s="664">
        <f t="shared" si="7"/>
        <v>0</v>
      </c>
      <c r="W156"/>
      <c r="X156" s="15" t="s">
        <v>61</v>
      </c>
      <c r="Y156" s="485">
        <f>'Input Page'!AC183</f>
        <v>0</v>
      </c>
      <c r="Z156" s="485">
        <f t="shared" si="8"/>
        <v>0</v>
      </c>
      <c r="AA156" s="485">
        <f t="shared" si="9"/>
        <v>0</v>
      </c>
      <c r="AB156" s="485">
        <f>'Input Page'!AK183</f>
        <v>0</v>
      </c>
    </row>
    <row r="157" spans="1:39">
      <c r="A157" s="135"/>
      <c r="B157" s="1218"/>
      <c r="C157" s="1218"/>
      <c r="D157" s="1077"/>
      <c r="E157" s="1428"/>
      <c r="F157" s="1428"/>
      <c r="G157" s="1428"/>
      <c r="H157" s="1428"/>
      <c r="I157" s="1211">
        <f t="shared" si="12"/>
        <v>0</v>
      </c>
      <c r="K157" s="495" t="str">
        <f t="shared" si="13"/>
        <v/>
      </c>
      <c r="L157" s="485" t="str">
        <f t="shared" si="0"/>
        <v/>
      </c>
      <c r="M157" s="494" t="str">
        <f>IF(B157="","",INDEX($Y$151:$Y$156,MATCH(B157,$X$151:$X$156,0)))</f>
        <v/>
      </c>
      <c r="N157" s="1078" t="str">
        <f t="shared" si="2"/>
        <v/>
      </c>
      <c r="O157" s="1436"/>
      <c r="P157" s="494" t="str">
        <f t="shared" si="3"/>
        <v/>
      </c>
      <c r="Q157" s="485" t="str">
        <f t="shared" si="4"/>
        <v/>
      </c>
      <c r="R157" s="1222" t="str">
        <f t="shared" si="5"/>
        <v/>
      </c>
      <c r="S157" s="1144" t="str">
        <f t="shared" si="6"/>
        <v/>
      </c>
      <c r="T157" s="545">
        <f t="shared" si="11"/>
        <v>0</v>
      </c>
      <c r="U157" s="545"/>
      <c r="V157" s="664">
        <f t="shared" si="7"/>
        <v>0</v>
      </c>
      <c r="W157"/>
    </row>
    <row r="158" spans="1:39" ht="16.5" thickBot="1">
      <c r="A158" s="135"/>
      <c r="B158" s="1433"/>
      <c r="C158" s="1433"/>
      <c r="D158" s="1136"/>
      <c r="E158" s="1435"/>
      <c r="F158" s="1435"/>
      <c r="G158" s="1435"/>
      <c r="H158" s="1435"/>
      <c r="I158" s="1212">
        <f t="shared" si="12"/>
        <v>0</v>
      </c>
      <c r="J158" s="226"/>
      <c r="K158" s="583" t="str">
        <f t="shared" si="13"/>
        <v/>
      </c>
      <c r="L158" s="1047" t="str">
        <f>IF(B158="","",K158+I158)</f>
        <v/>
      </c>
      <c r="M158" s="496" t="str">
        <f t="shared" si="10"/>
        <v/>
      </c>
      <c r="N158" s="1079" t="str">
        <f t="shared" si="2"/>
        <v/>
      </c>
      <c r="O158" s="1437"/>
      <c r="P158" s="496" t="str">
        <f t="shared" si="3"/>
        <v/>
      </c>
      <c r="Q158" s="1047" t="str">
        <f t="shared" si="4"/>
        <v/>
      </c>
      <c r="R158" s="1222" t="str">
        <f t="shared" si="5"/>
        <v/>
      </c>
      <c r="S158" s="1144" t="str">
        <f t="shared" si="6"/>
        <v/>
      </c>
      <c r="T158" s="545">
        <f t="shared" si="11"/>
        <v>0</v>
      </c>
      <c r="U158" s="545"/>
      <c r="V158" s="664">
        <f t="shared" si="7"/>
        <v>0</v>
      </c>
      <c r="W158"/>
    </row>
    <row r="159" spans="1:39" ht="16.5" thickBot="1">
      <c r="A159" s="135"/>
      <c r="B159" s="101" t="s">
        <v>198</v>
      </c>
      <c r="C159" s="101"/>
      <c r="D159" s="53"/>
      <c r="E159" s="42"/>
      <c r="F159" s="42"/>
      <c r="G159" s="1102" t="s">
        <v>199</v>
      </c>
      <c r="H159" s="1102" t="s">
        <v>200</v>
      </c>
      <c r="I159" s="491"/>
      <c r="J159" s="171"/>
      <c r="K159" s="1140"/>
      <c r="L159" s="1063"/>
      <c r="M159" s="1139"/>
      <c r="N159" s="1138"/>
      <c r="O159" s="1225"/>
      <c r="P159" s="584"/>
      <c r="Q159" s="485"/>
      <c r="R159" s="1222"/>
      <c r="S159" s="1144"/>
      <c r="T159" s="545"/>
      <c r="U159" s="545"/>
      <c r="V159" s="664"/>
      <c r="W159"/>
      <c r="X159" s="1603" t="s">
        <v>201</v>
      </c>
      <c r="Y159" s="1604"/>
      <c r="Z159" s="1604"/>
      <c r="AA159" s="1604"/>
      <c r="AB159" s="1604"/>
      <c r="AC159" s="1604"/>
      <c r="AD159" s="1604"/>
      <c r="AE159" s="1604"/>
      <c r="AF159" s="1604"/>
      <c r="AG159" s="1604"/>
      <c r="AH159" s="1604"/>
      <c r="AI159" s="1605"/>
    </row>
    <row r="160" spans="1:39">
      <c r="A160" s="135"/>
      <c r="B160" s="1218"/>
      <c r="C160" s="1218"/>
      <c r="D160" s="1426"/>
      <c r="E160" s="1428"/>
      <c r="F160" s="1428"/>
      <c r="G160" s="1428"/>
      <c r="H160" s="1434"/>
      <c r="I160" s="491">
        <f>G160+H160</f>
        <v>0</v>
      </c>
      <c r="J160" s="1141" t="str">
        <f>IF(B160="","",IF(L160&gt;M160,"ERROR","GOOD"))</f>
        <v/>
      </c>
      <c r="K160" s="495" t="str">
        <f t="shared" si="13"/>
        <v/>
      </c>
      <c r="L160" s="294" t="str">
        <f>IF(B160="","",K160+I160)</f>
        <v/>
      </c>
      <c r="M160" s="494" t="str">
        <f t="shared" ref="M160:M168" si="14">IF(B160="","",INDEX($X$177:$AI$183,MATCH(B160,$X$177:$X$183,0),MATCH(D160,$X$177:$AI$177,0)))</f>
        <v/>
      </c>
      <c r="N160" s="1078" t="str">
        <f t="shared" si="2"/>
        <v/>
      </c>
      <c r="O160" s="1228"/>
      <c r="P160" s="494"/>
      <c r="Q160" s="485"/>
      <c r="R160" s="1222"/>
      <c r="S160" s="1144"/>
      <c r="T160" s="545">
        <f t="shared" si="11"/>
        <v>0</v>
      </c>
      <c r="U160" s="545"/>
      <c r="V160" s="664">
        <f t="shared" si="7"/>
        <v>0</v>
      </c>
      <c r="W160"/>
      <c r="X160" s="990" t="s">
        <v>202</v>
      </c>
      <c r="Y160" s="993">
        <v>43936</v>
      </c>
      <c r="Z160" s="1048" t="s">
        <v>203</v>
      </c>
      <c r="AA160" s="968"/>
      <c r="AB160" s="968"/>
      <c r="AC160" s="146" t="s">
        <v>204</v>
      </c>
      <c r="AD160" s="968"/>
      <c r="AE160" s="968"/>
      <c r="AF160" s="968"/>
      <c r="AG160" s="968"/>
      <c r="AH160" s="968"/>
      <c r="AI160" s="968"/>
      <c r="AJ160" s="968" t="s">
        <v>205</v>
      </c>
      <c r="AK160" s="968"/>
      <c r="AL160" s="968"/>
      <c r="AM160" s="968"/>
    </row>
    <row r="161" spans="1:43">
      <c r="A161" s="135"/>
      <c r="B161" s="1218"/>
      <c r="C161" s="1218"/>
      <c r="D161" s="1426"/>
      <c r="E161" s="1428"/>
      <c r="F161" s="1428"/>
      <c r="G161" s="1428"/>
      <c r="H161" s="1428"/>
      <c r="I161" s="491">
        <f t="shared" ref="I161:I169" si="15">G161+H161</f>
        <v>0</v>
      </c>
      <c r="J161" s="1141" t="str">
        <f t="shared" ref="J161:J169" si="16">IF(B161="","",IF(L161&gt;M161,"ERROR","GOOD"))</f>
        <v/>
      </c>
      <c r="K161" s="495" t="str">
        <f t="shared" si="13"/>
        <v/>
      </c>
      <c r="L161" s="294" t="str">
        <f t="shared" ref="L161:L168" si="17">IF(B161="","",K161+I161)</f>
        <v/>
      </c>
      <c r="M161" s="494" t="str">
        <f t="shared" si="14"/>
        <v/>
      </c>
      <c r="N161" s="1078" t="str">
        <f t="shared" si="2"/>
        <v/>
      </c>
      <c r="O161" s="1228"/>
      <c r="P161" s="494"/>
      <c r="Q161" s="485"/>
      <c r="R161" s="1222"/>
      <c r="S161" s="1144"/>
      <c r="T161" s="545">
        <f t="shared" si="11"/>
        <v>0</v>
      </c>
      <c r="U161" s="545"/>
      <c r="V161" s="664">
        <f t="shared" si="7"/>
        <v>0</v>
      </c>
      <c r="W161"/>
      <c r="X161" s="990" t="s">
        <v>206</v>
      </c>
      <c r="Y161" s="993">
        <f>'Input Page'!$G$34</f>
        <v>0</v>
      </c>
      <c r="Z161" s="967"/>
      <c r="AA161" s="968"/>
      <c r="AB161" s="968"/>
      <c r="AC161" s="146" t="s">
        <v>207</v>
      </c>
      <c r="AD161" s="968"/>
      <c r="AE161" s="968"/>
      <c r="AF161" s="968"/>
      <c r="AG161" s="968"/>
      <c r="AH161" s="968"/>
      <c r="AI161" s="968"/>
      <c r="AJ161" s="968" t="s">
        <v>208</v>
      </c>
      <c r="AK161" s="968"/>
      <c r="AL161" s="968"/>
      <c r="AM161" s="968"/>
    </row>
    <row r="162" spans="1:43">
      <c r="A162" s="135"/>
      <c r="B162" s="1218"/>
      <c r="C162" s="1218"/>
      <c r="D162" s="1426"/>
      <c r="E162" s="1428"/>
      <c r="F162" s="1428"/>
      <c r="G162" s="1428"/>
      <c r="H162" s="1428"/>
      <c r="I162" s="491">
        <f t="shared" si="15"/>
        <v>0</v>
      </c>
      <c r="J162" s="1141" t="str">
        <f t="shared" si="16"/>
        <v/>
      </c>
      <c r="K162" s="495" t="str">
        <f t="shared" si="13"/>
        <v/>
      </c>
      <c r="L162" s="294" t="str">
        <f t="shared" si="17"/>
        <v/>
      </c>
      <c r="M162" s="494" t="str">
        <f t="shared" si="14"/>
        <v/>
      </c>
      <c r="N162" s="1078" t="str">
        <f t="shared" si="2"/>
        <v/>
      </c>
      <c r="O162" s="1228"/>
      <c r="P162" s="494"/>
      <c r="Q162" s="485"/>
      <c r="R162" s="1222"/>
      <c r="S162" s="1144"/>
      <c r="T162" s="545">
        <f t="shared" si="11"/>
        <v>0</v>
      </c>
      <c r="U162" s="545"/>
      <c r="V162" s="664">
        <f>I162*E162*12</f>
        <v>0</v>
      </c>
      <c r="W162"/>
      <c r="X162" s="990" t="s">
        <v>209</v>
      </c>
      <c r="Y162" s="969">
        <f>'Input Page'!$F$36</f>
        <v>0</v>
      </c>
      <c r="Z162" s="970"/>
      <c r="AA162" s="971"/>
      <c r="AB162" s="965"/>
      <c r="AC162" s="968"/>
      <c r="AD162" s="968"/>
      <c r="AE162" s="968"/>
      <c r="AF162" s="968"/>
      <c r="AG162" s="968"/>
      <c r="AH162" s="968"/>
      <c r="AI162" s="968"/>
      <c r="AJ162" s="968"/>
      <c r="AK162" s="968"/>
      <c r="AL162" s="968"/>
      <c r="AM162" s="968"/>
    </row>
    <row r="163" spans="1:43">
      <c r="A163" s="135"/>
      <c r="B163" s="1218"/>
      <c r="C163" s="1218"/>
      <c r="D163" s="1426"/>
      <c r="E163" s="1428"/>
      <c r="F163" s="1428"/>
      <c r="G163" s="1428"/>
      <c r="H163" s="1428"/>
      <c r="I163" s="491">
        <f t="shared" si="15"/>
        <v>0</v>
      </c>
      <c r="J163" s="1141" t="str">
        <f t="shared" si="16"/>
        <v/>
      </c>
      <c r="K163" s="495" t="str">
        <f t="shared" si="13"/>
        <v/>
      </c>
      <c r="L163" s="294" t="str">
        <f t="shared" si="17"/>
        <v/>
      </c>
      <c r="M163" s="494" t="str">
        <f t="shared" si="14"/>
        <v/>
      </c>
      <c r="N163" s="1078" t="str">
        <f t="shared" si="2"/>
        <v/>
      </c>
      <c r="O163" s="1228"/>
      <c r="P163" s="494"/>
      <c r="Q163" s="485"/>
      <c r="R163" s="1222"/>
      <c r="S163" s="1144"/>
      <c r="T163" s="545">
        <f>G163*E163*12</f>
        <v>0</v>
      </c>
      <c r="U163" s="545"/>
      <c r="V163" s="664">
        <f t="shared" si="7"/>
        <v>0</v>
      </c>
      <c r="W163"/>
      <c r="X163" s="968"/>
      <c r="Y163" s="966"/>
      <c r="Z163" s="972"/>
      <c r="AA163" s="971"/>
      <c r="AB163" s="965"/>
      <c r="AC163" s="973"/>
      <c r="AD163" s="972"/>
      <c r="AE163" s="972"/>
      <c r="AF163" s="972"/>
      <c r="AG163" s="972"/>
      <c r="AH163" s="972"/>
      <c r="AI163" s="972"/>
      <c r="AJ163" s="968"/>
      <c r="AK163" s="968"/>
      <c r="AL163" s="968"/>
      <c r="AM163" s="968"/>
    </row>
    <row r="164" spans="1:43">
      <c r="A164" s="135"/>
      <c r="B164" s="1218"/>
      <c r="C164" s="1218"/>
      <c r="D164" s="1426"/>
      <c r="E164" s="1428"/>
      <c r="F164" s="1428"/>
      <c r="G164" s="1428"/>
      <c r="H164" s="1428"/>
      <c r="I164" s="491">
        <f t="shared" si="15"/>
        <v>0</v>
      </c>
      <c r="J164" s="1141" t="str">
        <f t="shared" si="16"/>
        <v/>
      </c>
      <c r="K164" s="495" t="str">
        <f t="shared" si="13"/>
        <v/>
      </c>
      <c r="L164" s="294" t="str">
        <f t="shared" si="17"/>
        <v/>
      </c>
      <c r="M164" s="494" t="str">
        <f t="shared" si="14"/>
        <v/>
      </c>
      <c r="N164" s="1078" t="str">
        <f t="shared" si="2"/>
        <v/>
      </c>
      <c r="O164" s="1228"/>
      <c r="P164" s="494"/>
      <c r="Q164" s="485"/>
      <c r="R164" s="1222"/>
      <c r="S164" s="1144"/>
      <c r="T164" s="545">
        <f t="shared" si="11"/>
        <v>0</v>
      </c>
      <c r="U164" s="545"/>
      <c r="V164" s="664">
        <f t="shared" si="7"/>
        <v>0</v>
      </c>
      <c r="W164"/>
      <c r="X164" s="974" t="s">
        <v>210</v>
      </c>
      <c r="Y164" s="968"/>
      <c r="Z164" s="968"/>
      <c r="AA164" s="968"/>
      <c r="AB164" s="968"/>
      <c r="AC164" s="968"/>
      <c r="AD164" s="968"/>
      <c r="AE164" s="968"/>
      <c r="AF164" s="968"/>
      <c r="AG164" s="968"/>
      <c r="AH164" s="334"/>
      <c r="AI164" s="968"/>
      <c r="AJ164" s="968"/>
      <c r="AK164" s="968"/>
      <c r="AL164" s="968"/>
      <c r="AM164" s="968"/>
    </row>
    <row r="165" spans="1:43">
      <c r="A165" s="135"/>
      <c r="B165" s="1218"/>
      <c r="C165" s="1218"/>
      <c r="D165" s="1426"/>
      <c r="E165" s="1428"/>
      <c r="F165" s="1428"/>
      <c r="G165" s="1428"/>
      <c r="H165" s="1428"/>
      <c r="I165" s="491">
        <f t="shared" si="15"/>
        <v>0</v>
      </c>
      <c r="J165" s="1141" t="str">
        <f t="shared" si="16"/>
        <v/>
      </c>
      <c r="K165" s="495" t="str">
        <f t="shared" si="13"/>
        <v/>
      </c>
      <c r="L165" s="294" t="str">
        <f t="shared" si="17"/>
        <v/>
      </c>
      <c r="M165" s="494" t="str">
        <f t="shared" si="14"/>
        <v/>
      </c>
      <c r="N165" s="1078" t="str">
        <f t="shared" si="2"/>
        <v/>
      </c>
      <c r="O165" s="1228"/>
      <c r="P165" s="494"/>
      <c r="Q165" s="485"/>
      <c r="R165" s="1222"/>
      <c r="S165" s="1144"/>
      <c r="T165" s="545">
        <f t="shared" si="11"/>
        <v>0</v>
      </c>
      <c r="U165" s="545"/>
      <c r="V165" s="664">
        <f t="shared" si="7"/>
        <v>0</v>
      </c>
      <c r="W165"/>
      <c r="X165" s="966"/>
      <c r="Y165" s="980">
        <v>1.2</v>
      </c>
      <c r="Z165" s="980">
        <v>1</v>
      </c>
      <c r="AA165" s="980">
        <v>0.8</v>
      </c>
      <c r="AB165" s="980">
        <v>0.7</v>
      </c>
      <c r="AC165" s="980">
        <v>0.6</v>
      </c>
      <c r="AD165" s="980">
        <v>0.55000000000000004</v>
      </c>
      <c r="AE165" s="980">
        <v>0.5</v>
      </c>
      <c r="AF165" s="980">
        <v>0.45</v>
      </c>
      <c r="AG165" s="980">
        <v>0.4</v>
      </c>
      <c r="AH165" s="980">
        <v>0.35</v>
      </c>
      <c r="AI165" s="980">
        <v>0.3</v>
      </c>
      <c r="AJ165" s="968"/>
      <c r="AK165" s="968"/>
      <c r="AL165" s="968"/>
      <c r="AM165" s="968"/>
    </row>
    <row r="166" spans="1:43">
      <c r="A166" s="135"/>
      <c r="B166" s="1218"/>
      <c r="C166" s="1218"/>
      <c r="D166" s="1426"/>
      <c r="E166" s="1428"/>
      <c r="F166" s="1428"/>
      <c r="G166" s="1428"/>
      <c r="H166" s="1428"/>
      <c r="I166" s="491">
        <f t="shared" si="15"/>
        <v>0</v>
      </c>
      <c r="J166" s="1141" t="str">
        <f t="shared" si="16"/>
        <v/>
      </c>
      <c r="K166" s="495" t="str">
        <f t="shared" si="13"/>
        <v/>
      </c>
      <c r="L166" s="294" t="str">
        <f t="shared" si="17"/>
        <v/>
      </c>
      <c r="M166" s="494" t="str">
        <f t="shared" si="14"/>
        <v/>
      </c>
      <c r="N166" s="1078" t="str">
        <f t="shared" si="2"/>
        <v/>
      </c>
      <c r="O166" s="1228"/>
      <c r="P166" s="494"/>
      <c r="Q166" s="485"/>
      <c r="R166" s="1222"/>
      <c r="S166" s="1144"/>
      <c r="T166" s="545">
        <f t="shared" si="11"/>
        <v>0</v>
      </c>
      <c r="U166" s="545"/>
      <c r="V166" s="664">
        <f t="shared" si="7"/>
        <v>0</v>
      </c>
      <c r="W166"/>
      <c r="X166" s="990" t="s">
        <v>211</v>
      </c>
      <c r="Y166" s="976">
        <f>$AC166/$AC$165*Y$165</f>
        <v>0</v>
      </c>
      <c r="Z166" s="976">
        <f>$AC166/$AC$165*Z$165</f>
        <v>0</v>
      </c>
      <c r="AA166" s="976">
        <f>$AC166/$AC$165*AA$165</f>
        <v>0</v>
      </c>
      <c r="AB166" s="976">
        <f>$AC166/$AC$165*AB$165</f>
        <v>0</v>
      </c>
      <c r="AC166" s="1137"/>
      <c r="AD166" s="976">
        <f t="shared" ref="AD166:AI166" si="18">$AC166/$AC$165*AD$165</f>
        <v>0</v>
      </c>
      <c r="AE166" s="976">
        <f t="shared" si="18"/>
        <v>0</v>
      </c>
      <c r="AF166" s="976">
        <f t="shared" si="18"/>
        <v>0</v>
      </c>
      <c r="AG166" s="976">
        <f t="shared" si="18"/>
        <v>0</v>
      </c>
      <c r="AH166" s="976">
        <f t="shared" si="18"/>
        <v>0</v>
      </c>
      <c r="AI166" s="976">
        <f t="shared" si="18"/>
        <v>0</v>
      </c>
      <c r="AJ166" s="968"/>
      <c r="AK166" s="968"/>
      <c r="AL166" s="977"/>
      <c r="AM166" s="968"/>
    </row>
    <row r="167" spans="1:43">
      <c r="A167" s="135"/>
      <c r="B167" s="1218"/>
      <c r="C167" s="1218"/>
      <c r="D167" s="1426"/>
      <c r="E167" s="1428"/>
      <c r="F167" s="1428"/>
      <c r="G167" s="1428"/>
      <c r="H167" s="1428"/>
      <c r="I167" s="491">
        <f t="shared" si="15"/>
        <v>0</v>
      </c>
      <c r="J167" s="1141" t="str">
        <f t="shared" si="16"/>
        <v/>
      </c>
      <c r="K167" s="495" t="str">
        <f t="shared" si="13"/>
        <v/>
      </c>
      <c r="L167" s="294" t="str">
        <f t="shared" si="17"/>
        <v/>
      </c>
      <c r="M167" s="494" t="str">
        <f t="shared" si="14"/>
        <v/>
      </c>
      <c r="N167" s="1078" t="str">
        <f t="shared" si="2"/>
        <v/>
      </c>
      <c r="O167" s="1228"/>
      <c r="P167" s="494"/>
      <c r="Q167" s="485"/>
      <c r="R167" s="1222"/>
      <c r="S167" s="1144"/>
      <c r="T167" s="545">
        <f t="shared" si="11"/>
        <v>0</v>
      </c>
      <c r="U167" s="545"/>
      <c r="V167" s="664">
        <f t="shared" si="7"/>
        <v>0</v>
      </c>
      <c r="W167"/>
      <c r="X167" s="990" t="s">
        <v>212</v>
      </c>
      <c r="Y167" s="976">
        <f t="shared" ref="Y167:AB173" si="19">$AC167/$AC$165*Y$165</f>
        <v>0</v>
      </c>
      <c r="Z167" s="976">
        <f t="shared" si="19"/>
        <v>0</v>
      </c>
      <c r="AA167" s="976">
        <f t="shared" si="19"/>
        <v>0</v>
      </c>
      <c r="AB167" s="976">
        <f t="shared" si="19"/>
        <v>0</v>
      </c>
      <c r="AC167" s="1137"/>
      <c r="AD167" s="976">
        <f t="shared" ref="AD167:AD173" si="20">$AC167/$AC$165*AD$165</f>
        <v>0</v>
      </c>
      <c r="AE167" s="976">
        <f t="shared" ref="AE167:AE173" si="21">$AC167/$AC$165*AE$165</f>
        <v>0</v>
      </c>
      <c r="AF167" s="976">
        <f t="shared" ref="AF167:AF173" si="22">$AC167/$AC$165*AF$165</f>
        <v>0</v>
      </c>
      <c r="AG167" s="976">
        <f t="shared" ref="AG167:AG173" si="23">$AC167/$AC$165*AG$165</f>
        <v>0</v>
      </c>
      <c r="AH167" s="976">
        <f t="shared" ref="AH167:AH173" si="24">$AC167/$AC$165*AH$165</f>
        <v>0</v>
      </c>
      <c r="AI167" s="976">
        <f t="shared" ref="AI167:AI173" si="25">$AC167/$AC$165*AI$165</f>
        <v>0</v>
      </c>
      <c r="AJ167" s="968"/>
      <c r="AK167" s="968"/>
      <c r="AL167" s="977"/>
      <c r="AM167" s="968"/>
    </row>
    <row r="168" spans="1:43">
      <c r="A168" s="135"/>
      <c r="B168" s="1218"/>
      <c r="C168" s="1218"/>
      <c r="D168" s="1426"/>
      <c r="E168" s="1428"/>
      <c r="F168" s="1428"/>
      <c r="G168" s="1428"/>
      <c r="H168" s="1428"/>
      <c r="I168" s="491">
        <f t="shared" si="15"/>
        <v>0</v>
      </c>
      <c r="J168" s="1141" t="str">
        <f t="shared" si="16"/>
        <v/>
      </c>
      <c r="K168" s="495" t="str">
        <f t="shared" si="13"/>
        <v/>
      </c>
      <c r="L168" s="294" t="str">
        <f t="shared" si="17"/>
        <v/>
      </c>
      <c r="M168" s="494" t="str">
        <f t="shared" si="14"/>
        <v/>
      </c>
      <c r="N168" s="1078" t="str">
        <f t="shared" si="2"/>
        <v/>
      </c>
      <c r="O168" s="1228"/>
      <c r="P168" s="494"/>
      <c r="Q168" s="485"/>
      <c r="R168" s="1222"/>
      <c r="S168" s="1144"/>
      <c r="T168" s="545">
        <f t="shared" si="11"/>
        <v>0</v>
      </c>
      <c r="U168" s="545"/>
      <c r="V168" s="664">
        <f t="shared" si="7"/>
        <v>0</v>
      </c>
      <c r="W168"/>
      <c r="X168" s="990" t="s">
        <v>213</v>
      </c>
      <c r="Y168" s="976">
        <f t="shared" si="19"/>
        <v>0</v>
      </c>
      <c r="Z168" s="976">
        <f t="shared" si="19"/>
        <v>0</v>
      </c>
      <c r="AA168" s="976">
        <f t="shared" si="19"/>
        <v>0</v>
      </c>
      <c r="AB168" s="976">
        <f t="shared" si="19"/>
        <v>0</v>
      </c>
      <c r="AC168" s="1137"/>
      <c r="AD168" s="976">
        <f t="shared" si="20"/>
        <v>0</v>
      </c>
      <c r="AE168" s="976">
        <f t="shared" si="21"/>
        <v>0</v>
      </c>
      <c r="AF168" s="976">
        <f t="shared" si="22"/>
        <v>0</v>
      </c>
      <c r="AG168" s="976">
        <f t="shared" si="23"/>
        <v>0</v>
      </c>
      <c r="AH168" s="976">
        <f t="shared" si="24"/>
        <v>0</v>
      </c>
      <c r="AI168" s="976">
        <f t="shared" si="25"/>
        <v>0</v>
      </c>
      <c r="AJ168" s="968"/>
      <c r="AK168" s="975"/>
      <c r="AL168" s="977"/>
      <c r="AM168" s="968"/>
    </row>
    <row r="169" spans="1:43">
      <c r="A169" s="135"/>
      <c r="B169" s="1433"/>
      <c r="C169" s="1433"/>
      <c r="D169" s="1438"/>
      <c r="E169" s="1435"/>
      <c r="F169" s="1435"/>
      <c r="G169" s="1435"/>
      <c r="H169" s="1435"/>
      <c r="I169" s="493">
        <f t="shared" si="15"/>
        <v>0</v>
      </c>
      <c r="J169" s="1142" t="str">
        <f t="shared" si="16"/>
        <v/>
      </c>
      <c r="K169" s="583" t="str">
        <f t="shared" si="13"/>
        <v/>
      </c>
      <c r="L169" s="1062" t="str">
        <f>IF(B169="","",K169+I169)</f>
        <v/>
      </c>
      <c r="M169" s="496" t="str">
        <f>IF(B169="","",INDEX($X$177:$AI$183,MATCH(B169,$X$177:$X$183,0),MATCH(D169,$X$177:$AI$177,0)))</f>
        <v/>
      </c>
      <c r="N169" s="1079" t="str">
        <f t="shared" si="2"/>
        <v/>
      </c>
      <c r="O169" s="1229"/>
      <c r="P169" s="496"/>
      <c r="Q169" s="1047"/>
      <c r="R169" s="1222"/>
      <c r="S169" s="1144"/>
      <c r="T169" s="545">
        <f t="shared" si="11"/>
        <v>0</v>
      </c>
      <c r="U169" s="545"/>
      <c r="V169" s="664">
        <f t="shared" si="7"/>
        <v>0</v>
      </c>
      <c r="W169"/>
      <c r="X169" s="990" t="s">
        <v>214</v>
      </c>
      <c r="Y169" s="976">
        <f t="shared" si="19"/>
        <v>0</v>
      </c>
      <c r="Z169" s="976">
        <f t="shared" si="19"/>
        <v>0</v>
      </c>
      <c r="AA169" s="976">
        <f t="shared" si="19"/>
        <v>0</v>
      </c>
      <c r="AB169" s="976">
        <f t="shared" si="19"/>
        <v>0</v>
      </c>
      <c r="AC169" s="1137"/>
      <c r="AD169" s="976">
        <f t="shared" si="20"/>
        <v>0</v>
      </c>
      <c r="AE169" s="976">
        <f t="shared" si="21"/>
        <v>0</v>
      </c>
      <c r="AF169" s="976">
        <f t="shared" si="22"/>
        <v>0</v>
      </c>
      <c r="AG169" s="976">
        <f t="shared" si="23"/>
        <v>0</v>
      </c>
      <c r="AH169" s="976">
        <f t="shared" si="24"/>
        <v>0</v>
      </c>
      <c r="AI169" s="976">
        <f t="shared" si="25"/>
        <v>0</v>
      </c>
      <c r="AJ169" s="968"/>
      <c r="AK169" s="975"/>
      <c r="AL169" s="977"/>
      <c r="AM169" s="968"/>
    </row>
    <row r="170" spans="1:43">
      <c r="A170" s="135"/>
      <c r="B170" s="15"/>
      <c r="C170" s="24" t="s">
        <v>215</v>
      </c>
      <c r="D170" s="53"/>
      <c r="E170" s="1076">
        <f>SUM(E150:E169)</f>
        <v>0</v>
      </c>
      <c r="F170" s="42"/>
      <c r="G170" s="42"/>
      <c r="H170" s="42"/>
      <c r="I170" s="42"/>
      <c r="J170" s="32"/>
      <c r="K170" s="1220"/>
      <c r="L170" s="1063"/>
      <c r="M170" s="372"/>
      <c r="N170" s="171"/>
      <c r="O170" s="171"/>
      <c r="P170" s="171"/>
      <c r="Q170" s="1220"/>
      <c r="R170" s="1223"/>
      <c r="S170" s="287"/>
      <c r="T170" s="545"/>
      <c r="U170" s="545"/>
      <c r="V170" s="664"/>
      <c r="W170"/>
      <c r="X170" s="990" t="s">
        <v>216</v>
      </c>
      <c r="Y170" s="976">
        <f t="shared" si="19"/>
        <v>0</v>
      </c>
      <c r="Z170" s="976">
        <f t="shared" si="19"/>
        <v>0</v>
      </c>
      <c r="AA170" s="976">
        <f t="shared" si="19"/>
        <v>0</v>
      </c>
      <c r="AB170" s="976">
        <f t="shared" si="19"/>
        <v>0</v>
      </c>
      <c r="AC170" s="1137"/>
      <c r="AD170" s="976">
        <f t="shared" si="20"/>
        <v>0</v>
      </c>
      <c r="AE170" s="976">
        <f t="shared" si="21"/>
        <v>0</v>
      </c>
      <c r="AF170" s="976">
        <f t="shared" si="22"/>
        <v>0</v>
      </c>
      <c r="AG170" s="976">
        <f t="shared" si="23"/>
        <v>0</v>
      </c>
      <c r="AH170" s="976">
        <f t="shared" si="24"/>
        <v>0</v>
      </c>
      <c r="AI170" s="976">
        <f t="shared" si="25"/>
        <v>0</v>
      </c>
      <c r="AJ170" s="968"/>
      <c r="AK170" s="975"/>
      <c r="AL170" s="977"/>
      <c r="AM170" s="968"/>
    </row>
    <row r="171" spans="1:43">
      <c r="A171" s="135"/>
      <c r="B171" s="15"/>
      <c r="C171"/>
      <c r="D171"/>
      <c r="E171"/>
      <c r="F171" s="42"/>
      <c r="G171" s="42"/>
      <c r="H171" s="42"/>
      <c r="I171" s="42"/>
      <c r="J171" s="32"/>
      <c r="K171" s="27"/>
      <c r="L171" s="294"/>
      <c r="M171" s="28"/>
      <c r="N171" s="32"/>
      <c r="O171" s="32"/>
      <c r="P171" s="32"/>
      <c r="Q171" s="27"/>
      <c r="R171" s="1223"/>
      <c r="S171" s="287"/>
      <c r="T171" s="545"/>
      <c r="U171" s="545"/>
      <c r="V171" s="664"/>
      <c r="W171"/>
      <c r="X171" s="990" t="s">
        <v>217</v>
      </c>
      <c r="Y171" s="976">
        <f t="shared" si="19"/>
        <v>0</v>
      </c>
      <c r="Z171" s="976">
        <f t="shared" si="19"/>
        <v>0</v>
      </c>
      <c r="AA171" s="976">
        <f t="shared" si="19"/>
        <v>0</v>
      </c>
      <c r="AB171" s="976">
        <f t="shared" si="19"/>
        <v>0</v>
      </c>
      <c r="AC171" s="1137"/>
      <c r="AD171" s="976">
        <f t="shared" si="20"/>
        <v>0</v>
      </c>
      <c r="AE171" s="976">
        <f t="shared" si="21"/>
        <v>0</v>
      </c>
      <c r="AF171" s="976">
        <f t="shared" si="22"/>
        <v>0</v>
      </c>
      <c r="AG171" s="976">
        <f t="shared" si="23"/>
        <v>0</v>
      </c>
      <c r="AH171" s="976">
        <f t="shared" si="24"/>
        <v>0</v>
      </c>
      <c r="AI171" s="976">
        <f t="shared" si="25"/>
        <v>0</v>
      </c>
      <c r="AJ171" s="968"/>
      <c r="AK171" s="975"/>
      <c r="AL171" s="977"/>
      <c r="AM171" s="968"/>
    </row>
    <row r="172" spans="1:43">
      <c r="A172" s="135"/>
      <c r="B172" s="101" t="s">
        <v>218</v>
      </c>
      <c r="C172" s="101"/>
      <c r="E172"/>
      <c r="F172" s="42"/>
      <c r="G172" s="1102" t="s">
        <v>219</v>
      </c>
      <c r="H172" s="1102" t="s">
        <v>200</v>
      </c>
      <c r="I172" s="42"/>
      <c r="J172" s="32"/>
      <c r="K172" s="27"/>
      <c r="L172" s="294"/>
      <c r="M172" s="28"/>
      <c r="N172" s="32"/>
      <c r="O172" s="32"/>
      <c r="P172" s="32"/>
      <c r="Q172" s="27"/>
      <c r="R172" s="1223"/>
      <c r="S172" s="287"/>
      <c r="T172" s="545"/>
      <c r="U172" s="545"/>
      <c r="V172" s="664"/>
      <c r="W172"/>
      <c r="X172" s="990" t="s">
        <v>220</v>
      </c>
      <c r="Y172" s="976">
        <f t="shared" si="19"/>
        <v>0</v>
      </c>
      <c r="Z172" s="976">
        <f t="shared" si="19"/>
        <v>0</v>
      </c>
      <c r="AA172" s="976">
        <f t="shared" si="19"/>
        <v>0</v>
      </c>
      <c r="AB172" s="976">
        <f t="shared" si="19"/>
        <v>0</v>
      </c>
      <c r="AC172" s="1137"/>
      <c r="AD172" s="976">
        <f t="shared" si="20"/>
        <v>0</v>
      </c>
      <c r="AE172" s="976">
        <f t="shared" si="21"/>
        <v>0</v>
      </c>
      <c r="AF172" s="976">
        <f t="shared" si="22"/>
        <v>0</v>
      </c>
      <c r="AG172" s="976">
        <f t="shared" si="23"/>
        <v>0</v>
      </c>
      <c r="AH172" s="976">
        <f t="shared" si="24"/>
        <v>0</v>
      </c>
      <c r="AI172" s="976">
        <f t="shared" si="25"/>
        <v>0</v>
      </c>
      <c r="AJ172" s="968"/>
      <c r="AK172" s="975"/>
      <c r="AL172" s="977"/>
      <c r="AM172" s="968"/>
    </row>
    <row r="173" spans="1:43">
      <c r="A173" s="135"/>
      <c r="B173" s="1218"/>
      <c r="C173" s="1218"/>
      <c r="D173" s="53"/>
      <c r="E173" s="1428"/>
      <c r="F173" s="1428"/>
      <c r="G173" s="1428"/>
      <c r="H173" s="1428"/>
      <c r="I173" s="484">
        <f>G173+H173</f>
        <v>0</v>
      </c>
      <c r="J173" s="32"/>
      <c r="K173" s="495"/>
      <c r="L173" s="294" t="str">
        <f t="shared" ref="L173:L179" si="26">IF(B173="","",K173+I173)</f>
        <v/>
      </c>
      <c r="M173" s="294"/>
      <c r="N173" s="32"/>
      <c r="O173" s="32"/>
      <c r="P173" s="32"/>
      <c r="Q173" s="27"/>
      <c r="R173" s="1223"/>
      <c r="S173" s="287"/>
      <c r="T173" s="545">
        <f>G173*E173*12</f>
        <v>0</v>
      </c>
      <c r="U173" s="545"/>
      <c r="V173" s="664">
        <f>I173*E173*12</f>
        <v>0</v>
      </c>
      <c r="W173"/>
      <c r="X173" s="990" t="s">
        <v>221</v>
      </c>
      <c r="Y173" s="976">
        <f t="shared" si="19"/>
        <v>0</v>
      </c>
      <c r="Z173" s="976">
        <f t="shared" si="19"/>
        <v>0</v>
      </c>
      <c r="AA173" s="976">
        <f t="shared" si="19"/>
        <v>0</v>
      </c>
      <c r="AB173" s="976">
        <f t="shared" si="19"/>
        <v>0</v>
      </c>
      <c r="AC173" s="1137"/>
      <c r="AD173" s="976">
        <f t="shared" si="20"/>
        <v>0</v>
      </c>
      <c r="AE173" s="976">
        <f t="shared" si="21"/>
        <v>0</v>
      </c>
      <c r="AF173" s="976">
        <f t="shared" si="22"/>
        <v>0</v>
      </c>
      <c r="AG173" s="976">
        <f t="shared" si="23"/>
        <v>0</v>
      </c>
      <c r="AH173" s="976">
        <f t="shared" si="24"/>
        <v>0</v>
      </c>
      <c r="AI173" s="976">
        <f t="shared" si="25"/>
        <v>0</v>
      </c>
      <c r="AJ173" s="968"/>
      <c r="AK173" s="975"/>
      <c r="AL173" s="977"/>
      <c r="AM173" s="968"/>
    </row>
    <row r="174" spans="1:43">
      <c r="A174" s="135"/>
      <c r="B174" s="1218"/>
      <c r="C174" s="1218"/>
      <c r="D174" s="53"/>
      <c r="E174" s="1428"/>
      <c r="F174" s="1428"/>
      <c r="G174" s="1428"/>
      <c r="H174" s="1428"/>
      <c r="I174" s="484">
        <f t="shared" ref="I174:I179" si="27">G174+H174</f>
        <v>0</v>
      </c>
      <c r="J174" s="32"/>
      <c r="K174" s="495"/>
      <c r="L174" s="294" t="str">
        <f t="shared" si="26"/>
        <v/>
      </c>
      <c r="M174" s="294"/>
      <c r="N174" s="32"/>
      <c r="O174" s="32"/>
      <c r="P174" s="32"/>
      <c r="Q174" s="27"/>
      <c r="R174" s="1223"/>
      <c r="S174" s="287"/>
      <c r="T174" s="545">
        <f>G174*E174*12</f>
        <v>0</v>
      </c>
      <c r="U174" s="545"/>
      <c r="V174" s="664">
        <f t="shared" si="7"/>
        <v>0</v>
      </c>
      <c r="W174"/>
      <c r="X174" s="990"/>
      <c r="Y174" s="982"/>
      <c r="Z174" s="982"/>
      <c r="AA174" s="982"/>
      <c r="AB174" s="989"/>
      <c r="AC174" s="982"/>
      <c r="AD174" s="982"/>
      <c r="AE174" s="982"/>
      <c r="AF174" s="982"/>
      <c r="AG174" s="982"/>
      <c r="AH174" s="982"/>
      <c r="AI174" s="982"/>
      <c r="AJ174" s="968"/>
      <c r="AK174" s="975"/>
      <c r="AL174" s="977"/>
      <c r="AM174" s="968"/>
      <c r="AP174" s="489"/>
      <c r="AQ174" s="15"/>
    </row>
    <row r="175" spans="1:43">
      <c r="A175" s="135"/>
      <c r="B175" s="1218"/>
      <c r="C175" s="1218"/>
      <c r="D175" s="53"/>
      <c r="E175" s="1428"/>
      <c r="F175" s="1428"/>
      <c r="G175" s="1428"/>
      <c r="H175" s="1428"/>
      <c r="I175" s="484">
        <f t="shared" si="27"/>
        <v>0</v>
      </c>
      <c r="J175" s="32"/>
      <c r="K175" s="495"/>
      <c r="L175" s="294" t="str">
        <f t="shared" si="26"/>
        <v/>
      </c>
      <c r="M175" s="294"/>
      <c r="N175" s="32"/>
      <c r="O175" s="32"/>
      <c r="P175" s="32"/>
      <c r="Q175" s="27"/>
      <c r="R175" s="1223"/>
      <c r="S175" s="287"/>
      <c r="T175" s="545">
        <f t="shared" si="11"/>
        <v>0</v>
      </c>
      <c r="U175" s="545"/>
      <c r="V175" s="664">
        <f>I175*E175*12</f>
        <v>0</v>
      </c>
      <c r="W175"/>
      <c r="X175" s="966"/>
      <c r="Y175" s="978"/>
      <c r="Z175" s="978"/>
      <c r="AA175" s="978"/>
      <c r="AB175" s="978"/>
      <c r="AC175" s="978"/>
      <c r="AD175" s="978"/>
      <c r="AE175" s="978"/>
      <c r="AF175" s="978"/>
      <c r="AG175" s="978"/>
      <c r="AH175" s="978"/>
      <c r="AI175" s="978"/>
      <c r="AJ175" s="968"/>
      <c r="AK175" s="979"/>
      <c r="AL175" s="977"/>
      <c r="AM175" s="968"/>
    </row>
    <row r="176" spans="1:43">
      <c r="A176" s="135"/>
      <c r="B176" s="1218"/>
      <c r="C176" s="1218"/>
      <c r="D176" s="53"/>
      <c r="E176" s="1428"/>
      <c r="F176" s="1428"/>
      <c r="G176" s="1428"/>
      <c r="H176" s="1428"/>
      <c r="I176" s="484">
        <f t="shared" si="27"/>
        <v>0</v>
      </c>
      <c r="J176" s="32"/>
      <c r="K176" s="495"/>
      <c r="L176" s="294" t="str">
        <f t="shared" si="26"/>
        <v/>
      </c>
      <c r="M176" s="294"/>
      <c r="N176" s="32"/>
      <c r="O176" s="32"/>
      <c r="P176" s="32"/>
      <c r="Q176" s="27"/>
      <c r="R176" s="1223"/>
      <c r="S176" s="287"/>
      <c r="T176" s="545">
        <f t="shared" si="11"/>
        <v>0</v>
      </c>
      <c r="U176" s="545"/>
      <c r="V176" s="664">
        <f t="shared" si="7"/>
        <v>0</v>
      </c>
      <c r="W176"/>
      <c r="X176" s="974" t="s">
        <v>222</v>
      </c>
      <c r="Y176" s="978"/>
      <c r="Z176" s="978"/>
      <c r="AA176" s="978"/>
      <c r="AB176" s="978"/>
      <c r="AC176" s="978"/>
      <c r="AD176" s="978"/>
      <c r="AE176" s="978"/>
      <c r="AF176" s="978"/>
      <c r="AG176" s="978"/>
      <c r="AH176" s="978"/>
      <c r="AI176" s="978"/>
      <c r="AJ176" s="968"/>
      <c r="AK176" s="979"/>
      <c r="AL176" s="977"/>
      <c r="AM176" s="968"/>
    </row>
    <row r="177" spans="1:39">
      <c r="A177" s="135"/>
      <c r="B177" s="1218"/>
      <c r="C177" s="1218"/>
      <c r="D177" s="53"/>
      <c r="E177" s="1428"/>
      <c r="F177" s="1428"/>
      <c r="G177" s="1428"/>
      <c r="H177" s="1428"/>
      <c r="I177" s="484">
        <f t="shared" si="27"/>
        <v>0</v>
      </c>
      <c r="J177" s="32"/>
      <c r="K177" s="495"/>
      <c r="L177" s="294" t="str">
        <f t="shared" si="26"/>
        <v/>
      </c>
      <c r="M177" s="294"/>
      <c r="N177" s="32"/>
      <c r="O177" s="32"/>
      <c r="P177" s="32"/>
      <c r="Q177" s="27"/>
      <c r="R177" s="1223"/>
      <c r="S177" s="287"/>
      <c r="T177" s="545">
        <f t="shared" si="11"/>
        <v>0</v>
      </c>
      <c r="U177" s="545"/>
      <c r="V177" s="664">
        <f t="shared" si="7"/>
        <v>0</v>
      </c>
      <c r="W177"/>
      <c r="X177" s="966"/>
      <c r="Y177" s="980">
        <f t="shared" ref="Y177:AI177" si="28">Y165</f>
        <v>1.2</v>
      </c>
      <c r="Z177" s="980">
        <f t="shared" si="28"/>
        <v>1</v>
      </c>
      <c r="AA177" s="980">
        <f t="shared" si="28"/>
        <v>0.8</v>
      </c>
      <c r="AB177" s="980">
        <f t="shared" si="28"/>
        <v>0.7</v>
      </c>
      <c r="AC177" s="980">
        <f t="shared" si="28"/>
        <v>0.6</v>
      </c>
      <c r="AD177" s="980">
        <f t="shared" si="28"/>
        <v>0.55000000000000004</v>
      </c>
      <c r="AE177" s="980">
        <f t="shared" si="28"/>
        <v>0.5</v>
      </c>
      <c r="AF177" s="980">
        <f t="shared" si="28"/>
        <v>0.45</v>
      </c>
      <c r="AG177" s="980">
        <f t="shared" si="28"/>
        <v>0.4</v>
      </c>
      <c r="AH177" s="980">
        <f t="shared" si="28"/>
        <v>0.35</v>
      </c>
      <c r="AI177" s="980">
        <f t="shared" si="28"/>
        <v>0.3</v>
      </c>
      <c r="AJ177" s="968"/>
      <c r="AK177" s="981" t="s">
        <v>187</v>
      </c>
      <c r="AL177" s="981" t="s">
        <v>223</v>
      </c>
      <c r="AM177" s="981" t="s">
        <v>224</v>
      </c>
    </row>
    <row r="178" spans="1:39">
      <c r="A178" s="135"/>
      <c r="B178" s="1218"/>
      <c r="C178" s="1218"/>
      <c r="D178" s="53"/>
      <c r="E178" s="1428"/>
      <c r="F178" s="1428"/>
      <c r="G178" s="1428"/>
      <c r="H178" s="1428"/>
      <c r="I178" s="484">
        <f t="shared" si="27"/>
        <v>0</v>
      </c>
      <c r="J178" s="32"/>
      <c r="K178" s="495"/>
      <c r="L178" s="294" t="str">
        <f t="shared" si="26"/>
        <v/>
      </c>
      <c r="M178" s="294"/>
      <c r="N178" s="32"/>
      <c r="O178" s="32"/>
      <c r="P178" s="32"/>
      <c r="Q178" s="27"/>
      <c r="R178" s="1223"/>
      <c r="S178" s="287"/>
      <c r="T178" s="545">
        <f t="shared" si="11"/>
        <v>0</v>
      </c>
      <c r="U178" s="545"/>
      <c r="V178" s="664">
        <f t="shared" si="7"/>
        <v>0</v>
      </c>
      <c r="W178"/>
      <c r="X178" s="990" t="s">
        <v>49</v>
      </c>
      <c r="Y178" s="976">
        <f t="shared" ref="Y178:AI178" si="29">TRUNC(Y166/12*0.3,0)</f>
        <v>0</v>
      </c>
      <c r="Z178" s="976">
        <f t="shared" si="29"/>
        <v>0</v>
      </c>
      <c r="AA178" s="976">
        <f t="shared" si="29"/>
        <v>0</v>
      </c>
      <c r="AB178" s="976">
        <f t="shared" si="29"/>
        <v>0</v>
      </c>
      <c r="AC178" s="976">
        <f t="shared" si="29"/>
        <v>0</v>
      </c>
      <c r="AD178" s="976">
        <f t="shared" si="29"/>
        <v>0</v>
      </c>
      <c r="AE178" s="976">
        <f t="shared" si="29"/>
        <v>0</v>
      </c>
      <c r="AF178" s="976">
        <f t="shared" si="29"/>
        <v>0</v>
      </c>
      <c r="AG178" s="976">
        <f t="shared" si="29"/>
        <v>0</v>
      </c>
      <c r="AH178" s="976">
        <f t="shared" si="29"/>
        <v>0</v>
      </c>
      <c r="AI178" s="976">
        <f t="shared" si="29"/>
        <v>0</v>
      </c>
      <c r="AJ178" s="969"/>
      <c r="AK178" s="992"/>
      <c r="AL178" s="989"/>
      <c r="AM178" s="989"/>
    </row>
    <row r="179" spans="1:39">
      <c r="A179" s="135"/>
      <c r="B179" s="1218"/>
      <c r="C179" s="1218"/>
      <c r="D179" s="53"/>
      <c r="E179" s="1439"/>
      <c r="F179" s="1428"/>
      <c r="G179" s="1428"/>
      <c r="H179" s="1428"/>
      <c r="I179" s="484">
        <f t="shared" si="27"/>
        <v>0</v>
      </c>
      <c r="J179" s="32"/>
      <c r="K179" s="495"/>
      <c r="L179" s="294" t="str">
        <f t="shared" si="26"/>
        <v/>
      </c>
      <c r="M179" s="294"/>
      <c r="N179" s="32"/>
      <c r="O179" s="32"/>
      <c r="P179" s="32"/>
      <c r="Q179" s="27"/>
      <c r="R179" s="1223"/>
      <c r="S179" s="287"/>
      <c r="T179" s="545">
        <f t="shared" si="11"/>
        <v>0</v>
      </c>
      <c r="U179" s="545"/>
      <c r="V179" s="664">
        <f t="shared" si="7"/>
        <v>0</v>
      </c>
      <c r="W179"/>
      <c r="X179" s="990" t="s">
        <v>52</v>
      </c>
      <c r="Y179" s="976">
        <f t="shared" ref="Y179:AI179" si="30">TRUNC((Y167+Y166)/2/12*0.3,0)</f>
        <v>0</v>
      </c>
      <c r="Z179" s="976">
        <f t="shared" si="30"/>
        <v>0</v>
      </c>
      <c r="AA179" s="976">
        <f t="shared" si="30"/>
        <v>0</v>
      </c>
      <c r="AB179" s="976">
        <f t="shared" si="30"/>
        <v>0</v>
      </c>
      <c r="AC179" s="976">
        <f t="shared" si="30"/>
        <v>0</v>
      </c>
      <c r="AD179" s="976">
        <f t="shared" si="30"/>
        <v>0</v>
      </c>
      <c r="AE179" s="976">
        <f t="shared" si="30"/>
        <v>0</v>
      </c>
      <c r="AF179" s="976">
        <f t="shared" si="30"/>
        <v>0</v>
      </c>
      <c r="AG179" s="976">
        <f t="shared" si="30"/>
        <v>0</v>
      </c>
      <c r="AH179" s="976">
        <f t="shared" si="30"/>
        <v>0</v>
      </c>
      <c r="AI179" s="976">
        <f t="shared" si="30"/>
        <v>0</v>
      </c>
      <c r="AJ179" s="969"/>
      <c r="AK179" s="992"/>
      <c r="AL179" s="989"/>
      <c r="AM179" s="989"/>
    </row>
    <row r="180" spans="1:39">
      <c r="A180" s="135"/>
      <c r="C180" s="24" t="s">
        <v>225</v>
      </c>
      <c r="D180" s="31"/>
      <c r="E180" s="1076">
        <f>SUM(E173:E179)</f>
        <v>0</v>
      </c>
      <c r="F180" s="39"/>
      <c r="G180" s="39"/>
      <c r="H180" s="42"/>
      <c r="I180" s="39"/>
      <c r="J180" s="32"/>
      <c r="K180" s="27"/>
      <c r="L180" s="28"/>
      <c r="M180" s="28"/>
      <c r="N180" s="32"/>
      <c r="O180" s="32"/>
      <c r="P180" s="32"/>
      <c r="Q180" s="27"/>
      <c r="R180" s="1223"/>
      <c r="S180" s="287"/>
      <c r="T180" s="545"/>
      <c r="U180" s="545"/>
      <c r="V180" s="664"/>
      <c r="W180"/>
      <c r="X180" s="990" t="s">
        <v>54</v>
      </c>
      <c r="Y180" s="976">
        <f t="shared" ref="Y180:AI180" si="31">TRUNC(Y168/12*0.3,0)</f>
        <v>0</v>
      </c>
      <c r="Z180" s="976">
        <f t="shared" si="31"/>
        <v>0</v>
      </c>
      <c r="AA180" s="976">
        <f t="shared" si="31"/>
        <v>0</v>
      </c>
      <c r="AB180" s="976">
        <f t="shared" si="31"/>
        <v>0</v>
      </c>
      <c r="AC180" s="976">
        <f t="shared" si="31"/>
        <v>0</v>
      </c>
      <c r="AD180" s="976">
        <f t="shared" si="31"/>
        <v>0</v>
      </c>
      <c r="AE180" s="976">
        <f t="shared" si="31"/>
        <v>0</v>
      </c>
      <c r="AF180" s="976">
        <f t="shared" si="31"/>
        <v>0</v>
      </c>
      <c r="AG180" s="976">
        <f t="shared" si="31"/>
        <v>0</v>
      </c>
      <c r="AH180" s="976">
        <f t="shared" si="31"/>
        <v>0</v>
      </c>
      <c r="AI180" s="976">
        <f t="shared" si="31"/>
        <v>0</v>
      </c>
      <c r="AJ180" s="969"/>
      <c r="AK180" s="992"/>
      <c r="AL180" s="989"/>
      <c r="AM180" s="989"/>
    </row>
    <row r="181" spans="1:39">
      <c r="A181" s="135"/>
      <c r="C181" s="1080" t="s">
        <v>226</v>
      </c>
      <c r="D181" s="1081"/>
      <c r="E181" s="1082">
        <f>E180+E170</f>
        <v>0</v>
      </c>
      <c r="F181" s="1081"/>
      <c r="G181" s="1082">
        <f>SUM(T150:T179)</f>
        <v>0</v>
      </c>
      <c r="H181" s="1081"/>
      <c r="I181" s="1082">
        <f>SUM(V150:V179)</f>
        <v>0</v>
      </c>
      <c r="J181" s="1083"/>
      <c r="K181" s="1084"/>
      <c r="L181" s="1085"/>
      <c r="M181" s="1085"/>
      <c r="N181" s="1083"/>
      <c r="O181" s="1083"/>
      <c r="P181" s="1083"/>
      <c r="Q181" s="1084"/>
      <c r="R181" s="1223"/>
      <c r="S181" s="287"/>
      <c r="T181"/>
      <c r="U181"/>
      <c r="V181" s="284"/>
      <c r="W181"/>
      <c r="X181" s="990" t="s">
        <v>57</v>
      </c>
      <c r="Y181" s="976">
        <f t="shared" ref="Y181:AI181" si="32">TRUNC((Y169+Y170)/2/12*0.3,0)</f>
        <v>0</v>
      </c>
      <c r="Z181" s="976">
        <f t="shared" si="32"/>
        <v>0</v>
      </c>
      <c r="AA181" s="976">
        <f t="shared" si="32"/>
        <v>0</v>
      </c>
      <c r="AB181" s="976">
        <f t="shared" si="32"/>
        <v>0</v>
      </c>
      <c r="AC181" s="976">
        <f t="shared" si="32"/>
        <v>0</v>
      </c>
      <c r="AD181" s="976">
        <f t="shared" si="32"/>
        <v>0</v>
      </c>
      <c r="AE181" s="976">
        <f t="shared" si="32"/>
        <v>0</v>
      </c>
      <c r="AF181" s="976">
        <f t="shared" si="32"/>
        <v>0</v>
      </c>
      <c r="AG181" s="976">
        <f t="shared" si="32"/>
        <v>0</v>
      </c>
      <c r="AH181" s="976">
        <f t="shared" si="32"/>
        <v>0</v>
      </c>
      <c r="AI181" s="976">
        <f t="shared" si="32"/>
        <v>0</v>
      </c>
      <c r="AJ181" s="969"/>
      <c r="AK181" s="992"/>
      <c r="AL181" s="989"/>
      <c r="AM181" s="989"/>
    </row>
    <row r="182" spans="1:39" ht="16.5" thickBot="1">
      <c r="A182" s="136"/>
      <c r="B182" s="139"/>
      <c r="C182" s="139"/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224"/>
      <c r="S182" s="286"/>
      <c r="T182" s="285"/>
      <c r="U182" s="285"/>
      <c r="V182" s="286"/>
      <c r="W182"/>
      <c r="X182" s="990" t="s">
        <v>59</v>
      </c>
      <c r="Y182" s="976">
        <f t="shared" ref="Y182:AI182" si="33">TRUNC(Y171/12*0.3,0)</f>
        <v>0</v>
      </c>
      <c r="Z182" s="976">
        <f t="shared" si="33"/>
        <v>0</v>
      </c>
      <c r="AA182" s="976">
        <f t="shared" si="33"/>
        <v>0</v>
      </c>
      <c r="AB182" s="976">
        <f t="shared" si="33"/>
        <v>0</v>
      </c>
      <c r="AC182" s="976">
        <f t="shared" si="33"/>
        <v>0</v>
      </c>
      <c r="AD182" s="976">
        <f t="shared" si="33"/>
        <v>0</v>
      </c>
      <c r="AE182" s="976">
        <f t="shared" si="33"/>
        <v>0</v>
      </c>
      <c r="AF182" s="976">
        <f t="shared" si="33"/>
        <v>0</v>
      </c>
      <c r="AG182" s="976">
        <f t="shared" si="33"/>
        <v>0</v>
      </c>
      <c r="AH182" s="976">
        <f t="shared" si="33"/>
        <v>0</v>
      </c>
      <c r="AI182" s="976">
        <f t="shared" si="33"/>
        <v>0</v>
      </c>
      <c r="AJ182" s="969"/>
      <c r="AK182" s="992"/>
      <c r="AL182" s="989"/>
      <c r="AM182" s="989"/>
    </row>
    <row r="183" spans="1:39">
      <c r="R183"/>
      <c r="S183"/>
      <c r="T183"/>
      <c r="U183"/>
      <c r="V183"/>
      <c r="W183"/>
      <c r="X183" s="990" t="s">
        <v>61</v>
      </c>
      <c r="Y183" s="976">
        <f t="shared" ref="Y183:AI183" si="34">TRUNC((Y172+Y173)/2/12*0.3,0)</f>
        <v>0</v>
      </c>
      <c r="Z183" s="976">
        <f t="shared" si="34"/>
        <v>0</v>
      </c>
      <c r="AA183" s="976">
        <f t="shared" si="34"/>
        <v>0</v>
      </c>
      <c r="AB183" s="976">
        <f t="shared" si="34"/>
        <v>0</v>
      </c>
      <c r="AC183" s="976">
        <f t="shared" si="34"/>
        <v>0</v>
      </c>
      <c r="AD183" s="976">
        <f t="shared" si="34"/>
        <v>0</v>
      </c>
      <c r="AE183" s="976">
        <f t="shared" si="34"/>
        <v>0</v>
      </c>
      <c r="AF183" s="976">
        <f t="shared" si="34"/>
        <v>0</v>
      </c>
      <c r="AG183" s="976">
        <f t="shared" si="34"/>
        <v>0</v>
      </c>
      <c r="AH183" s="976">
        <f t="shared" si="34"/>
        <v>0</v>
      </c>
      <c r="AI183" s="976">
        <f t="shared" si="34"/>
        <v>0</v>
      </c>
      <c r="AJ183" s="969"/>
      <c r="AK183" s="991">
        <f>AK182*1.15</f>
        <v>0</v>
      </c>
      <c r="AL183" s="989"/>
      <c r="AM183" s="989"/>
    </row>
    <row r="184" spans="1:39">
      <c r="R184"/>
      <c r="S184"/>
      <c r="T184"/>
      <c r="U184"/>
      <c r="V184"/>
      <c r="W184"/>
      <c r="X184" s="968"/>
      <c r="Y184" s="968"/>
      <c r="Z184" s="968"/>
      <c r="AA184" s="968"/>
      <c r="AB184" s="968"/>
      <c r="AC184" s="968"/>
      <c r="AD184" s="968"/>
      <c r="AE184" s="968"/>
      <c r="AF184" s="968"/>
      <c r="AG184" s="968"/>
      <c r="AH184" s="968"/>
      <c r="AI184" s="968"/>
      <c r="AJ184" s="968"/>
      <c r="AK184" s="968"/>
      <c r="AL184" s="968"/>
      <c r="AM184" s="968"/>
    </row>
    <row r="185" spans="1:39">
      <c r="R185"/>
      <c r="S185"/>
      <c r="T185"/>
      <c r="U185"/>
      <c r="V185"/>
      <c r="W185"/>
      <c r="X185" s="968"/>
      <c r="Y185" s="968"/>
      <c r="Z185" s="968"/>
      <c r="AA185" s="968"/>
      <c r="AB185" s="985"/>
      <c r="AC185" s="968"/>
      <c r="AD185" s="968"/>
      <c r="AE185" s="968"/>
      <c r="AF185" s="968"/>
      <c r="AG185" s="968"/>
      <c r="AH185" s="968"/>
      <c r="AI185" s="968"/>
      <c r="AJ185" s="968"/>
      <c r="AK185" s="968"/>
      <c r="AL185" s="968"/>
      <c r="AM185" s="968"/>
    </row>
    <row r="186" spans="1:39">
      <c r="R186"/>
      <c r="S186"/>
      <c r="T186"/>
      <c r="U186"/>
      <c r="V186"/>
      <c r="W186"/>
      <c r="X186" s="986" t="s">
        <v>227</v>
      </c>
      <c r="Y186" s="968"/>
      <c r="Z186" s="968"/>
      <c r="AA186" s="968"/>
      <c r="AB186" s="968"/>
      <c r="AC186" s="968"/>
      <c r="AD186" s="968"/>
      <c r="AE186" s="968"/>
      <c r="AF186" s="968"/>
      <c r="AG186" s="987"/>
      <c r="AH186" s="983"/>
      <c r="AI186" s="987"/>
      <c r="AJ186" s="987"/>
      <c r="AK186" s="984"/>
      <c r="AL186" s="984"/>
      <c r="AM186" s="984"/>
    </row>
    <row r="187" spans="1:39">
      <c r="R187"/>
      <c r="S187"/>
      <c r="T187"/>
      <c r="U187"/>
      <c r="V187"/>
      <c r="W187"/>
      <c r="X187" s="968"/>
      <c r="Y187" s="981" t="s">
        <v>49</v>
      </c>
      <c r="Z187" s="981" t="s">
        <v>52</v>
      </c>
      <c r="AA187" s="981" t="s">
        <v>54</v>
      </c>
      <c r="AB187" s="981" t="s">
        <v>57</v>
      </c>
      <c r="AC187" s="981" t="s">
        <v>59</v>
      </c>
      <c r="AD187" s="981" t="s">
        <v>61</v>
      </c>
      <c r="AE187" s="968"/>
      <c r="AF187" s="968"/>
      <c r="AG187" s="968"/>
      <c r="AH187" s="968"/>
      <c r="AI187" s="984"/>
      <c r="AJ187" s="984"/>
      <c r="AK187" s="984"/>
      <c r="AL187" s="984"/>
      <c r="AM187" s="984"/>
    </row>
    <row r="188" spans="1:39">
      <c r="R188"/>
      <c r="S188"/>
      <c r="T188"/>
      <c r="U188"/>
      <c r="V188"/>
      <c r="W188"/>
      <c r="X188" s="968" t="s">
        <v>228</v>
      </c>
      <c r="Y188" s="1049"/>
      <c r="Z188" s="1049"/>
      <c r="AA188" s="1049"/>
      <c r="AB188" s="1049"/>
      <c r="AC188" s="1049"/>
      <c r="AD188" s="1049"/>
      <c r="AE188" s="1050" t="s">
        <v>229</v>
      </c>
      <c r="AF188" s="968" t="s">
        <v>230</v>
      </c>
      <c r="AG188" s="968"/>
      <c r="AH188" s="968"/>
      <c r="AI188" s="984"/>
      <c r="AJ188" s="984"/>
      <c r="AK188" s="984"/>
      <c r="AL188" s="984"/>
      <c r="AM188" s="984"/>
    </row>
    <row r="189" spans="1:39">
      <c r="X189" s="968" t="s">
        <v>231</v>
      </c>
      <c r="Y189" s="1051"/>
      <c r="Z189" s="1051"/>
      <c r="AA189" s="1051"/>
      <c r="AB189" s="1051"/>
      <c r="AC189" s="1051"/>
      <c r="AD189" s="1051"/>
      <c r="AE189" s="1050" t="s">
        <v>229</v>
      </c>
      <c r="AF189" s="968" t="s">
        <v>232</v>
      </c>
      <c r="AG189" s="968"/>
      <c r="AH189" s="968"/>
      <c r="AI189" s="984"/>
      <c r="AJ189" s="984"/>
      <c r="AK189" s="984"/>
      <c r="AL189" s="984"/>
      <c r="AM189" s="984"/>
    </row>
    <row r="190" spans="1:39">
      <c r="X190" s="968" t="s">
        <v>233</v>
      </c>
      <c r="Y190" s="1051"/>
      <c r="Z190" s="1051"/>
      <c r="AA190" s="1051"/>
      <c r="AB190" s="1051"/>
      <c r="AC190" s="1051"/>
      <c r="AD190" s="1051"/>
      <c r="AE190" s="1050" t="s">
        <v>229</v>
      </c>
      <c r="AF190" s="968" t="s">
        <v>234</v>
      </c>
      <c r="AG190" s="968"/>
      <c r="AH190" s="968"/>
      <c r="AI190" s="984"/>
      <c r="AJ190" s="984"/>
      <c r="AK190" s="984"/>
      <c r="AL190" s="984"/>
      <c r="AM190" s="984"/>
    </row>
    <row r="191" spans="1:39">
      <c r="X191" s="968" t="s">
        <v>235</v>
      </c>
      <c r="Y191" s="1051"/>
      <c r="Z191" s="1051"/>
      <c r="AA191" s="1051"/>
      <c r="AB191" s="1051"/>
      <c r="AC191" s="1051"/>
      <c r="AD191" s="1051"/>
      <c r="AE191" s="968"/>
      <c r="AF191" s="968" t="s">
        <v>236</v>
      </c>
      <c r="AG191" s="968"/>
      <c r="AH191" s="968"/>
      <c r="AI191" s="984"/>
      <c r="AJ191" s="984"/>
      <c r="AK191" s="984"/>
      <c r="AL191" s="984"/>
      <c r="AM191" s="984"/>
    </row>
    <row r="192" spans="1:39">
      <c r="X192" s="968" t="s">
        <v>237</v>
      </c>
      <c r="Y192" s="1051"/>
      <c r="Z192" s="1051"/>
      <c r="AA192" s="1051"/>
      <c r="AB192" s="1051"/>
      <c r="AC192" s="1051"/>
      <c r="AD192" s="1051"/>
      <c r="AE192" s="968"/>
      <c r="AF192" s="968"/>
      <c r="AG192" s="968"/>
      <c r="AH192" s="968"/>
      <c r="AI192" s="984"/>
      <c r="AJ192" s="984"/>
      <c r="AK192" s="984"/>
      <c r="AL192" s="984"/>
      <c r="AM192" s="984"/>
    </row>
    <row r="193" spans="24:39">
      <c r="X193" s="968" t="s">
        <v>238</v>
      </c>
      <c r="Y193" s="1051"/>
      <c r="Z193" s="1051"/>
      <c r="AA193" s="1051"/>
      <c r="AB193" s="1051"/>
      <c r="AC193" s="1051"/>
      <c r="AD193" s="1051"/>
      <c r="AE193" s="968"/>
      <c r="AF193" s="968" t="s">
        <v>239</v>
      </c>
      <c r="AG193" s="968"/>
      <c r="AH193" s="968"/>
      <c r="AI193" s="968"/>
      <c r="AJ193" s="968"/>
      <c r="AK193" s="968"/>
      <c r="AL193" s="968"/>
      <c r="AM193" s="968"/>
    </row>
    <row r="194" spans="24:39">
      <c r="X194" s="968" t="s">
        <v>240</v>
      </c>
      <c r="Y194" s="1051"/>
      <c r="Z194" s="1051"/>
      <c r="AA194" s="1051"/>
      <c r="AB194" s="1051"/>
      <c r="AC194" s="1051"/>
      <c r="AD194" s="1051"/>
      <c r="AE194" s="968"/>
      <c r="AF194" s="968" t="s">
        <v>241</v>
      </c>
      <c r="AG194" s="968"/>
      <c r="AH194" s="968"/>
      <c r="AI194" s="968"/>
      <c r="AJ194" s="968"/>
      <c r="AK194" s="968"/>
      <c r="AL194" s="968"/>
      <c r="AM194" s="968"/>
    </row>
    <row r="195" spans="24:39">
      <c r="X195" s="968" t="s">
        <v>242</v>
      </c>
      <c r="Y195" s="1051"/>
      <c r="Z195" s="1051"/>
      <c r="AA195" s="1051"/>
      <c r="AB195" s="1051"/>
      <c r="AC195" s="1051"/>
      <c r="AD195" s="1051"/>
      <c r="AE195" s="968"/>
      <c r="AF195" s="968" t="s">
        <v>243</v>
      </c>
      <c r="AG195" s="968"/>
      <c r="AH195" s="968"/>
      <c r="AI195" s="968"/>
      <c r="AJ195" s="968"/>
      <c r="AK195" s="968"/>
      <c r="AL195" s="968"/>
      <c r="AM195" s="968"/>
    </row>
    <row r="196" spans="24:39">
      <c r="X196" s="968" t="s">
        <v>18</v>
      </c>
      <c r="Y196" s="1052"/>
      <c r="Z196" s="1052"/>
      <c r="AA196" s="1052"/>
      <c r="AB196" s="1052"/>
      <c r="AC196" s="1052"/>
      <c r="AD196" s="1052"/>
      <c r="AE196" s="968"/>
      <c r="AF196" s="968"/>
      <c r="AG196" s="968"/>
      <c r="AH196" s="968"/>
      <c r="AI196" s="968"/>
      <c r="AJ196" s="968"/>
      <c r="AK196" s="968"/>
      <c r="AL196" s="968"/>
      <c r="AM196" s="968"/>
    </row>
    <row r="197" spans="24:39">
      <c r="X197" s="968"/>
      <c r="Y197" s="988">
        <f t="shared" ref="Y197:AD197" si="35">SUM(Y188:Y196)</f>
        <v>0</v>
      </c>
      <c r="Z197" s="988">
        <f t="shared" si="35"/>
        <v>0</v>
      </c>
      <c r="AA197" s="988">
        <f t="shared" si="35"/>
        <v>0</v>
      </c>
      <c r="AB197" s="988">
        <f t="shared" si="35"/>
        <v>0</v>
      </c>
      <c r="AC197" s="988">
        <f t="shared" si="35"/>
        <v>0</v>
      </c>
      <c r="AD197" s="988">
        <f t="shared" si="35"/>
        <v>0</v>
      </c>
      <c r="AE197" s="968"/>
      <c r="AF197" s="968"/>
      <c r="AG197" s="968"/>
      <c r="AH197" s="968"/>
      <c r="AI197" s="968"/>
      <c r="AJ197" s="968"/>
      <c r="AK197" s="968"/>
      <c r="AL197" s="968"/>
      <c r="AM197" s="968"/>
    </row>
  </sheetData>
  <mergeCells count="166">
    <mergeCell ref="T149:AB149"/>
    <mergeCell ref="J110:S110"/>
    <mergeCell ref="J107:S107"/>
    <mergeCell ref="J45:S45"/>
    <mergeCell ref="J143:S143"/>
    <mergeCell ref="J137:S137"/>
    <mergeCell ref="J136:S136"/>
    <mergeCell ref="J135:S135"/>
    <mergeCell ref="J134:S134"/>
    <mergeCell ref="J131:S131"/>
    <mergeCell ref="J128:S128"/>
    <mergeCell ref="J125:S125"/>
    <mergeCell ref="J122:S122"/>
    <mergeCell ref="J119:S119"/>
    <mergeCell ref="J116:S116"/>
    <mergeCell ref="J115:S115"/>
    <mergeCell ref="A146:S146"/>
    <mergeCell ref="A100:S100"/>
    <mergeCell ref="A55:S55"/>
    <mergeCell ref="D77:E77"/>
    <mergeCell ref="J92:S92"/>
    <mergeCell ref="D131:E131"/>
    <mergeCell ref="D110:E110"/>
    <mergeCell ref="D73:E73"/>
    <mergeCell ref="A31:S31"/>
    <mergeCell ref="C51:E51"/>
    <mergeCell ref="D143:E143"/>
    <mergeCell ref="D119:E119"/>
    <mergeCell ref="D125:E125"/>
    <mergeCell ref="D128:E128"/>
    <mergeCell ref="D134:E134"/>
    <mergeCell ref="D135:E135"/>
    <mergeCell ref="D114:E114"/>
    <mergeCell ref="D115:E115"/>
    <mergeCell ref="D116:E116"/>
    <mergeCell ref="D136:E136"/>
    <mergeCell ref="D137:E137"/>
    <mergeCell ref="D98:E98"/>
    <mergeCell ref="D104:E104"/>
    <mergeCell ref="D93:E93"/>
    <mergeCell ref="D107:E107"/>
    <mergeCell ref="D113:E113"/>
    <mergeCell ref="D102:E102"/>
    <mergeCell ref="J140:S140"/>
    <mergeCell ref="F36:G36"/>
    <mergeCell ref="F35:G35"/>
    <mergeCell ref="F33:G33"/>
    <mergeCell ref="F32:G32"/>
    <mergeCell ref="C32:E32"/>
    <mergeCell ref="C33:E33"/>
    <mergeCell ref="C34:E34"/>
    <mergeCell ref="C35:E35"/>
    <mergeCell ref="C36:E36"/>
    <mergeCell ref="C38:E38"/>
    <mergeCell ref="C39:E39"/>
    <mergeCell ref="C44:E44"/>
    <mergeCell ref="C48:E48"/>
    <mergeCell ref="A43:S43"/>
    <mergeCell ref="J46:S46"/>
    <mergeCell ref="D97:E97"/>
    <mergeCell ref="D96:E96"/>
    <mergeCell ref="J113:S113"/>
    <mergeCell ref="J104:S104"/>
    <mergeCell ref="J58:S58"/>
    <mergeCell ref="D64:E64"/>
    <mergeCell ref="D66:E66"/>
    <mergeCell ref="D65:E65"/>
    <mergeCell ref="C42:E42"/>
    <mergeCell ref="D80:E80"/>
    <mergeCell ref="D81:E81"/>
    <mergeCell ref="D88:E88"/>
    <mergeCell ref="D74:E74"/>
    <mergeCell ref="D82:E82"/>
    <mergeCell ref="D68:E68"/>
    <mergeCell ref="D85:E85"/>
    <mergeCell ref="D67:E67"/>
    <mergeCell ref="D71:E71"/>
    <mergeCell ref="D78:E78"/>
    <mergeCell ref="D79:E79"/>
    <mergeCell ref="C53:E53"/>
    <mergeCell ref="D72:E72"/>
    <mergeCell ref="D91:E91"/>
    <mergeCell ref="D92:E92"/>
    <mergeCell ref="J114:S114"/>
    <mergeCell ref="G49:I49"/>
    <mergeCell ref="J57:S57"/>
    <mergeCell ref="J52:S52"/>
    <mergeCell ref="J49:S49"/>
    <mergeCell ref="J71:S71"/>
    <mergeCell ref="J68:S68"/>
    <mergeCell ref="J67:S67"/>
    <mergeCell ref="J66:S66"/>
    <mergeCell ref="J59:S59"/>
    <mergeCell ref="J72:S72"/>
    <mergeCell ref="J73:S73"/>
    <mergeCell ref="J78:S78"/>
    <mergeCell ref="J77:S77"/>
    <mergeCell ref="J74:S74"/>
    <mergeCell ref="J81:S81"/>
    <mergeCell ref="J80:S80"/>
    <mergeCell ref="J91:S91"/>
    <mergeCell ref="J89:S89"/>
    <mergeCell ref="J88:S88"/>
    <mergeCell ref="J87:S87"/>
    <mergeCell ref="D59:E59"/>
    <mergeCell ref="D86:E86"/>
    <mergeCell ref="D87:E87"/>
    <mergeCell ref="D63:E63"/>
    <mergeCell ref="D49:E49"/>
    <mergeCell ref="D58:E58"/>
    <mergeCell ref="C54:E54"/>
    <mergeCell ref="D57:E57"/>
    <mergeCell ref="D62:E62"/>
    <mergeCell ref="C2:J2"/>
    <mergeCell ref="E4:J4"/>
    <mergeCell ref="E5:J5"/>
    <mergeCell ref="E9:G9"/>
    <mergeCell ref="H9:J9"/>
    <mergeCell ref="C3:J3"/>
    <mergeCell ref="C6:J6"/>
    <mergeCell ref="C7:J8"/>
    <mergeCell ref="E10:G10"/>
    <mergeCell ref="H10:J10"/>
    <mergeCell ref="C4:D4"/>
    <mergeCell ref="C5:D5"/>
    <mergeCell ref="C9:D9"/>
    <mergeCell ref="C10:D10"/>
    <mergeCell ref="E12:G12"/>
    <mergeCell ref="E13:G13"/>
    <mergeCell ref="E14:G14"/>
    <mergeCell ref="C28:J28"/>
    <mergeCell ref="C11:D11"/>
    <mergeCell ref="E11:G11"/>
    <mergeCell ref="H11:J11"/>
    <mergeCell ref="C22:J22"/>
    <mergeCell ref="C16:J16"/>
    <mergeCell ref="H12:J12"/>
    <mergeCell ref="H13:J13"/>
    <mergeCell ref="H14:J14"/>
    <mergeCell ref="C12:D12"/>
    <mergeCell ref="C13:D13"/>
    <mergeCell ref="C14:D14"/>
    <mergeCell ref="X159:AI159"/>
    <mergeCell ref="C40:E40"/>
    <mergeCell ref="E15:G15"/>
    <mergeCell ref="H15:J15"/>
    <mergeCell ref="V137:AB137"/>
    <mergeCell ref="J123:S123"/>
    <mergeCell ref="V135:AB135"/>
    <mergeCell ref="J65:S65"/>
    <mergeCell ref="J64:S64"/>
    <mergeCell ref="J63:S63"/>
    <mergeCell ref="J62:S62"/>
    <mergeCell ref="C15:D15"/>
    <mergeCell ref="C41:E41"/>
    <mergeCell ref="J102:S102"/>
    <mergeCell ref="J98:S98"/>
    <mergeCell ref="J97:S97"/>
    <mergeCell ref="J96:S96"/>
    <mergeCell ref="J93:S93"/>
    <mergeCell ref="U31:X37"/>
    <mergeCell ref="J79:S79"/>
    <mergeCell ref="D122:E122"/>
    <mergeCell ref="J86:S86"/>
    <mergeCell ref="J85:S85"/>
    <mergeCell ref="J82:S82"/>
  </mergeCells>
  <phoneticPr fontId="7" type="noConversion"/>
  <conditionalFormatting sqref="J45:S46 J49:S49 J52:S52 J57:S59 J62:S68 J71:S74 J77:S82 J85:S88 J92:S93 J96:S98 J102:S102 J104:S104 J107:S107 J110:S110 J113:S116 J119:S120 J125:S125 J128:S128 J131:S131 J134:S137 J143:S143 J91 J122:S122">
    <cfRule type="notContainsBlanks" dxfId="194" priority="14">
      <formula>LEN(TRIM(J45))&gt;0</formula>
    </cfRule>
  </conditionalFormatting>
  <conditionalFormatting sqref="G45:I46 G49:I49 G57:I59 G62:I68 G71:I74 G77 G78:I82 G85:I86 G87 G88:I88 G91:I93 G96:I98 G102:I102 G104:I104 G107:I107 G110:I110 G113:I116 G119:I119 G122:I123 G125:I125 G128:I128 G131:I131 G134:I137 G143:I143">
    <cfRule type="notContainsBlanks" dxfId="193" priority="13">
      <formula>LEN(TRIM(G45))&gt;0</formula>
    </cfRule>
  </conditionalFormatting>
  <conditionalFormatting sqref="J140:S140">
    <cfRule type="notContainsBlanks" dxfId="192" priority="11">
      <formula>LEN(TRIM(J140))&gt;0</formula>
    </cfRule>
  </conditionalFormatting>
  <dataValidations count="8">
    <dataValidation type="list" allowBlank="1" showInputMessage="1" showErrorMessage="1" sqref="G38" xr:uid="{18C00153-3E35-4983-86C9-C5F8FBE90C6C}">
      <formula1>"Family, Elderly, Family&amp;Elderly, Family&amp;LIHTC, Elderly&amp;LIHTC, Family&amp;Market, Elderly&amp;Market"</formula1>
    </dataValidation>
    <dataValidation type="list" allowBlank="1" showInputMessage="1" showErrorMessage="1" sqref="G34" xr:uid="{9FD1A9EA-CFF4-4544-AB45-0A061800C6C1}">
      <formula1>"AL, AK, AZ, AR, CA, CO, CT, DE, FL, GA, HI, ID, IL, IN, IA, KS, KY, LA, ME, MD, MA, MI, MN, MS, MO, MT, NE, NV, NH, NJ, NM, NY, NC, ND, OH, OK, OR, PA, RI, SC, SD, TN, TX, UT, VT, VA, WA, WV, WI, WY"</formula1>
    </dataValidation>
    <dataValidation type="list" allowBlank="1" showInputMessage="1" showErrorMessage="1" sqref="F116 F137" xr:uid="{8680260B-4912-4586-8466-652334E11A06}">
      <formula1>"Yes, No"</formula1>
    </dataValidation>
    <dataValidation type="list" allowBlank="1" showInputMessage="1" showErrorMessage="1" sqref="F51" xr:uid="{45256AB4-4023-49AD-832A-3C13298C149C}">
      <formula1>"0, 1, 2, 3, 4 ,5"</formula1>
    </dataValidation>
    <dataValidation type="list" allowBlank="1" showInputMessage="1" showErrorMessage="1" sqref="F122" xr:uid="{8C91AA21-8196-4081-85DC-C27DB51BF8FE}">
      <formula1>"Conventional, Private Placement, Freddie TEL, Fannie M-TEB, HUD 221 (D)(4), HUD 223(f), HFA Debt"</formula1>
    </dataValidation>
    <dataValidation type="list" allowBlank="1" showInputMessage="1" showErrorMessage="1" sqref="AE188:AE190" xr:uid="{CDF7AEDB-FEAF-4396-A67F-DE4DE5D7C093}">
      <formula1>"Electric, Gas"</formula1>
    </dataValidation>
    <dataValidation type="list" allowBlank="1" showInputMessage="1" showErrorMessage="1" sqref="C151:C158 C160:C169 C173:C179" xr:uid="{9E4C6F2E-D92C-4F23-AC4B-0FE1248BEF65}">
      <formula1>"1 BA, 1.5 BA, 2 BA, 2.5 BA, 3 BA, 3.5 BA, 4 BA"</formula1>
    </dataValidation>
    <dataValidation type="list" showInputMessage="1" showErrorMessage="1" sqref="B151:B158 B173:B179 B160:B169" xr:uid="{E6752949-65EE-448C-954D-1891662A0336}">
      <formula1>$BG$16:$BG$22</formula1>
    </dataValidation>
  </dataValidations>
  <hyperlinks>
    <hyperlink ref="J91" r:id="rId1" xr:uid="{0465C0ED-AE0E-4A97-8AE5-054A0A85E1CA}"/>
    <hyperlink ref="AC160" r:id="rId2" xr:uid="{A85372CB-F80B-4D20-8CCD-72E37648D58E}"/>
    <hyperlink ref="AC161" r:id="rId3" xr:uid="{44ABD18C-C6A1-4200-9DD5-F0220A0D363F}"/>
    <hyperlink ref="V137" r:id="rId4" xr:uid="{4A276494-7213-4F05-99EC-955A2B23927C}"/>
    <hyperlink ref="U39" r:id="rId5" xr:uid="{CA0D0178-E099-4AA7-BB8F-2F4198480715}"/>
  </hyperlinks>
  <pageMargins left="0.7" right="0.7" top="0.75" bottom="0.75" header="0.3" footer="0.3"/>
  <pageSetup orientation="portrait" horizontalDpi="0" verticalDpi="0" r:id="rId6"/>
  <drawing r:id="rId7"/>
  <legacyDrawing r:id="rId8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" operator="containsText" id="{E2310D54-4F8F-43CD-9697-EC2E6682E993}">
            <xm:f>NOT(ISERROR(SEARCH("GOOD",R151)))</xm:f>
            <xm:f>"GOOD"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R151:S181</xm:sqref>
        </x14:conditionalFormatting>
        <x14:conditionalFormatting xmlns:xm="http://schemas.microsoft.com/office/excel/2006/main">
          <x14:cfRule type="containsText" priority="17" operator="containsText" id="{762C2CED-189E-4102-851F-2B558A0107CD}">
            <xm:f>NOT(ISERROR(SEARCH("HUD",R151)))</xm:f>
            <xm:f>"HUD"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R151:R181</xm:sqref>
        </x14:conditionalFormatting>
        <x14:conditionalFormatting xmlns:xm="http://schemas.microsoft.com/office/excel/2006/main">
          <x14:cfRule type="containsText" priority="16" operator="containsText" id="{6E012673-3FE9-44DB-BC96-9276C694D97F}">
            <xm:f>NOT(ISERROR(SEARCH("Appraisal",S151)))</xm:f>
            <xm:f>"Appraisal"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S151:S181</xm:sqref>
        </x14:conditionalFormatting>
        <x14:conditionalFormatting xmlns:xm="http://schemas.microsoft.com/office/excel/2006/main">
          <x14:cfRule type="containsText" priority="4" operator="containsText" id="{ECD7BD6F-1704-40D6-98A5-EC9C5DF7E849}">
            <xm:f>NOT(ISERROR(SEARCH("ERROR",J160)))</xm:f>
            <xm:f>"ERROR"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J160:J169</xm:sqref>
        </x14:conditionalFormatting>
        <x14:conditionalFormatting xmlns:xm="http://schemas.microsoft.com/office/excel/2006/main">
          <x14:cfRule type="containsText" priority="3" operator="containsText" id="{A9736CF9-5EF4-4195-AFAD-9DD304571F5E}">
            <xm:f>NOT(ISERROR(SEARCH("GOOD",J160)))</xm:f>
            <xm:f>"GOOD"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J160:J169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9263-BF94-43AC-99B6-6E00C22F4152}">
  <dimension ref="D1:M41"/>
  <sheetViews>
    <sheetView topLeftCell="A10" zoomScale="80" zoomScaleNormal="80" workbookViewId="0">
      <selection activeCell="O26" sqref="O26"/>
    </sheetView>
  </sheetViews>
  <sheetFormatPr defaultRowHeight="15"/>
  <cols>
    <col min="3" max="3" width="3.5703125" customWidth="1"/>
    <col min="4" max="4" width="36" bestFit="1" customWidth="1"/>
    <col min="5" max="5" width="15.5703125" style="1454" customWidth="1"/>
    <col min="6" max="6" width="16.85546875" style="1454" customWidth="1"/>
    <col min="7" max="7" width="19.42578125" customWidth="1"/>
    <col min="8" max="8" width="12.42578125" customWidth="1"/>
    <col min="9" max="9" width="18.42578125" customWidth="1"/>
    <col min="10" max="10" width="16.85546875" customWidth="1"/>
    <col min="11" max="11" width="17.85546875" customWidth="1"/>
    <col min="12" max="12" width="17.42578125" customWidth="1"/>
    <col min="13" max="13" width="13.5703125" customWidth="1"/>
    <col min="14" max="14" width="12.85546875" customWidth="1"/>
    <col min="15" max="15" width="10.28515625" customWidth="1"/>
  </cols>
  <sheetData>
    <row r="1" spans="4:13" ht="15.75" thickBot="1"/>
    <row r="2" spans="4:13" ht="19.5" thickBot="1">
      <c r="D2" s="1678" t="s">
        <v>1042</v>
      </c>
      <c r="E2" s="1679"/>
      <c r="F2" s="1679"/>
      <c r="G2" s="1679"/>
      <c r="H2" s="1679"/>
      <c r="I2" s="1679"/>
      <c r="J2" s="1679"/>
      <c r="K2" s="1679"/>
      <c r="L2" s="1680"/>
    </row>
    <row r="4" spans="4:13" ht="35.1" customHeight="1" thickBot="1">
      <c r="D4" s="1681" t="s">
        <v>69</v>
      </c>
      <c r="E4" s="1681"/>
      <c r="F4" s="1508"/>
    </row>
    <row r="5" spans="4:13" ht="15.95" customHeight="1" thickBot="1">
      <c r="D5" s="1682"/>
      <c r="E5" s="1683"/>
      <c r="F5" s="1459"/>
    </row>
    <row r="6" spans="4:13" ht="19.5" customHeight="1"/>
    <row r="7" spans="4:13" ht="19.5" customHeight="1" thickBot="1">
      <c r="D7" s="1509" t="s">
        <v>1041</v>
      </c>
      <c r="L7" s="1511"/>
      <c r="M7" s="1511"/>
    </row>
    <row r="8" spans="4:13" ht="19.5" customHeight="1">
      <c r="D8" s="1461"/>
      <c r="L8" s="1511"/>
    </row>
    <row r="9" spans="4:13" ht="19.5" customHeight="1" thickBot="1">
      <c r="D9" s="1462"/>
      <c r="L9" s="1511"/>
    </row>
    <row r="10" spans="4:13" ht="33.950000000000003" customHeight="1">
      <c r="L10" s="1511"/>
    </row>
    <row r="11" spans="4:13" ht="19.5" thickBot="1">
      <c r="D11" s="1457"/>
      <c r="E11" s="1458"/>
      <c r="F11" s="1458"/>
      <c r="K11" s="1457"/>
    </row>
    <row r="12" spans="4:13" ht="16.5" thickBot="1">
      <c r="D12" s="1512" t="s">
        <v>650</v>
      </c>
      <c r="E12" s="1463"/>
      <c r="I12" s="1673" t="s">
        <v>257</v>
      </c>
      <c r="J12" s="1673"/>
    </row>
    <row r="13" spans="4:13" ht="15.75">
      <c r="D13" s="1516" t="s">
        <v>1066</v>
      </c>
      <c r="E13" s="1517"/>
      <c r="I13" s="1464" t="s">
        <v>1049</v>
      </c>
      <c r="J13" s="1465" t="s">
        <v>1050</v>
      </c>
    </row>
    <row r="14" spans="4:13" ht="15.75">
      <c r="D14" s="1513" t="s">
        <v>1062</v>
      </c>
      <c r="E14" s="1514"/>
      <c r="I14" s="1581">
        <f>I16*E12</f>
        <v>0</v>
      </c>
      <c r="J14" s="1582">
        <f>J16*E12</f>
        <v>0</v>
      </c>
    </row>
    <row r="15" spans="4:13" ht="15.75" customHeight="1" thickBot="1">
      <c r="D15" s="1515" t="s">
        <v>1065</v>
      </c>
      <c r="E15" s="1518"/>
      <c r="I15" s="1684" t="s">
        <v>1095</v>
      </c>
      <c r="J15" s="1685"/>
    </row>
    <row r="16" spans="4:13" ht="13.5" customHeight="1" thickBot="1">
      <c r="D16" s="1516" t="s">
        <v>1063</v>
      </c>
      <c r="E16" s="1761"/>
      <c r="I16" s="1583"/>
      <c r="J16" s="1510"/>
    </row>
    <row r="17" spans="4:12" ht="15.75">
      <c r="D17" s="1513" t="s">
        <v>1064</v>
      </c>
      <c r="E17" s="1542"/>
    </row>
    <row r="18" spans="4:12" ht="16.5" thickBot="1">
      <c r="D18" s="1513" t="s">
        <v>1087</v>
      </c>
      <c r="E18" s="1574"/>
      <c r="I18" s="1673" t="s">
        <v>1091</v>
      </c>
      <c r="J18" s="1673"/>
    </row>
    <row r="19" spans="4:12" ht="30">
      <c r="D19" s="1513" t="s">
        <v>1061</v>
      </c>
      <c r="E19" s="1574"/>
      <c r="I19" s="1578" t="s">
        <v>1094</v>
      </c>
      <c r="J19" s="1580" t="e">
        <f>AVERAGE('Warehouse Exec Summary'!F35:F39)</f>
        <v>#DIV/0!</v>
      </c>
    </row>
    <row r="20" spans="4:12" ht="16.5" thickBot="1">
      <c r="D20" s="1576" t="s">
        <v>1093</v>
      </c>
      <c r="E20" s="1577"/>
      <c r="I20" t="s">
        <v>1090</v>
      </c>
    </row>
    <row r="21" spans="4:12" ht="17.45" customHeight="1">
      <c r="D21" s="1674" t="s">
        <v>1092</v>
      </c>
      <c r="E21" s="1674"/>
    </row>
    <row r="23" spans="4:12" ht="16.5" thickBot="1">
      <c r="D23" s="1460" t="s">
        <v>1047</v>
      </c>
      <c r="E23" s="1456"/>
      <c r="F23" s="1456"/>
      <c r="G23" s="1456"/>
      <c r="H23" s="1456"/>
    </row>
    <row r="24" spans="4:12" ht="15.75" thickBot="1">
      <c r="D24" s="1675"/>
      <c r="E24" s="1676"/>
      <c r="F24" s="1676"/>
      <c r="G24" s="1676"/>
      <c r="H24" s="1676"/>
      <c r="I24" s="1676"/>
      <c r="J24" s="1676"/>
      <c r="K24" s="1676"/>
      <c r="L24" s="1677"/>
    </row>
    <row r="25" spans="4:12" ht="15.75" thickBot="1">
      <c r="D25" s="1675"/>
      <c r="E25" s="1676"/>
      <c r="F25" s="1676"/>
      <c r="G25" s="1676"/>
      <c r="H25" s="1676"/>
      <c r="I25" s="1676"/>
      <c r="J25" s="1676"/>
      <c r="K25" s="1676"/>
      <c r="L25" s="1677"/>
    </row>
    <row r="26" spans="4:12" ht="15.75" thickBot="1">
      <c r="D26" s="1675"/>
      <c r="E26" s="1676"/>
      <c r="F26" s="1676"/>
      <c r="G26" s="1676"/>
      <c r="H26" s="1676"/>
      <c r="I26" s="1676"/>
      <c r="J26" s="1676"/>
      <c r="K26" s="1676"/>
      <c r="L26" s="1677"/>
    </row>
    <row r="27" spans="4:12" ht="15.95" customHeight="1" thickBot="1">
      <c r="D27" s="1675"/>
      <c r="E27" s="1676"/>
      <c r="F27" s="1676"/>
      <c r="G27" s="1676"/>
      <c r="H27" s="1676"/>
      <c r="I27" s="1676"/>
      <c r="J27" s="1676"/>
      <c r="K27" s="1676"/>
      <c r="L27" s="1677"/>
    </row>
    <row r="28" spans="4:12" ht="15.75" thickBot="1">
      <c r="D28" s="1675"/>
      <c r="E28" s="1676"/>
      <c r="F28" s="1676"/>
      <c r="G28" s="1676"/>
      <c r="H28" s="1676"/>
      <c r="I28" s="1676"/>
      <c r="J28" s="1676"/>
      <c r="K28" s="1676"/>
      <c r="L28" s="1677"/>
    </row>
    <row r="29" spans="4:12" ht="15.75" thickBot="1">
      <c r="D29" s="1675"/>
      <c r="E29" s="1676"/>
      <c r="F29" s="1676"/>
      <c r="G29" s="1676"/>
      <c r="H29" s="1676"/>
      <c r="I29" s="1676"/>
      <c r="J29" s="1676"/>
      <c r="K29" s="1676"/>
      <c r="L29" s="1677"/>
    </row>
    <row r="30" spans="4:12" ht="15.75" thickBot="1">
      <c r="D30" s="1675"/>
      <c r="E30" s="1676"/>
      <c r="F30" s="1676"/>
      <c r="G30" s="1676"/>
      <c r="H30" s="1676"/>
      <c r="I30" s="1676"/>
      <c r="J30" s="1676"/>
      <c r="K30" s="1676"/>
      <c r="L30" s="1677"/>
    </row>
    <row r="31" spans="4:12" ht="15.75" thickBot="1">
      <c r="D31" s="1675"/>
      <c r="E31" s="1676"/>
      <c r="F31" s="1676"/>
      <c r="G31" s="1676"/>
      <c r="H31" s="1676"/>
      <c r="I31" s="1676"/>
      <c r="J31" s="1676"/>
      <c r="K31" s="1676"/>
      <c r="L31" s="1677"/>
    </row>
    <row r="32" spans="4:12" ht="15.75" thickBot="1">
      <c r="D32" s="1675"/>
      <c r="E32" s="1676"/>
      <c r="F32" s="1676"/>
      <c r="G32" s="1676"/>
      <c r="H32" s="1676"/>
      <c r="I32" s="1676"/>
      <c r="J32" s="1676"/>
      <c r="K32" s="1676"/>
      <c r="L32" s="1677"/>
    </row>
    <row r="33" spans="4:12" ht="15.75" thickBot="1">
      <c r="D33" s="1675"/>
      <c r="E33" s="1676"/>
      <c r="F33" s="1676"/>
      <c r="G33" s="1676"/>
      <c r="H33" s="1676"/>
      <c r="I33" s="1676"/>
      <c r="J33" s="1676"/>
      <c r="K33" s="1676"/>
      <c r="L33" s="1677"/>
    </row>
    <row r="35" spans="4:12" ht="16.5" thickBot="1">
      <c r="D35" s="1460" t="s">
        <v>1048</v>
      </c>
    </row>
    <row r="36" spans="4:12" ht="15.75" thickBot="1">
      <c r="D36" s="1675"/>
      <c r="E36" s="1676"/>
      <c r="F36" s="1676"/>
      <c r="G36" s="1676"/>
      <c r="H36" s="1676"/>
      <c r="I36" s="1676"/>
      <c r="J36" s="1676"/>
      <c r="K36" s="1676"/>
      <c r="L36" s="1677"/>
    </row>
    <row r="37" spans="4:12" ht="15.75" thickBot="1">
      <c r="D37" s="1480"/>
      <c r="E37" s="1481"/>
      <c r="F37" s="1481"/>
      <c r="G37" s="1481"/>
      <c r="H37" s="1481"/>
      <c r="I37" s="1481"/>
      <c r="J37" s="1481"/>
      <c r="K37" s="1481"/>
      <c r="L37" s="1482"/>
    </row>
    <row r="38" spans="4:12" ht="15.75" thickBot="1">
      <c r="D38" s="1480"/>
      <c r="E38" s="1481"/>
      <c r="F38" s="1481"/>
      <c r="G38" s="1481"/>
      <c r="H38" s="1481"/>
      <c r="I38" s="1481"/>
      <c r="J38" s="1481"/>
      <c r="K38" s="1481"/>
      <c r="L38" s="1482"/>
    </row>
    <row r="39" spans="4:12" ht="15.75" thickBot="1">
      <c r="D39" s="1480"/>
      <c r="E39" s="1481"/>
      <c r="F39" s="1481"/>
      <c r="G39" s="1481"/>
      <c r="H39" s="1481"/>
      <c r="I39" s="1481"/>
      <c r="J39" s="1481"/>
      <c r="K39" s="1481"/>
      <c r="L39" s="1482"/>
    </row>
    <row r="40" spans="4:12" ht="15.75" thickBot="1">
      <c r="D40" s="1480"/>
      <c r="E40" s="1481"/>
      <c r="F40" s="1481"/>
      <c r="G40" s="1481"/>
      <c r="H40" s="1481"/>
      <c r="I40" s="1481"/>
      <c r="J40" s="1481"/>
      <c r="K40" s="1481"/>
      <c r="L40" s="1482"/>
    </row>
    <row r="41" spans="4:12" ht="15.75" thickBot="1">
      <c r="D41" s="1480"/>
      <c r="E41" s="1481"/>
      <c r="F41" s="1481"/>
      <c r="G41" s="1481"/>
      <c r="H41" s="1481"/>
      <c r="I41" s="1481"/>
      <c r="J41" s="1481"/>
      <c r="K41" s="1481"/>
      <c r="L41" s="1482"/>
    </row>
  </sheetData>
  <mergeCells count="18">
    <mergeCell ref="D36:L36"/>
    <mergeCell ref="D24:L24"/>
    <mergeCell ref="D25:L25"/>
    <mergeCell ref="D26:L26"/>
    <mergeCell ref="D27:L27"/>
    <mergeCell ref="D28:L28"/>
    <mergeCell ref="D29:L29"/>
    <mergeCell ref="D30:L30"/>
    <mergeCell ref="D31:L31"/>
    <mergeCell ref="D32:L32"/>
    <mergeCell ref="I12:J12"/>
    <mergeCell ref="D21:E21"/>
    <mergeCell ref="D33:L33"/>
    <mergeCell ref="D2:L2"/>
    <mergeCell ref="D4:E4"/>
    <mergeCell ref="D5:E5"/>
    <mergeCell ref="I15:J15"/>
    <mergeCell ref="I18:J18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  <pageSetUpPr fitToPage="1"/>
  </sheetPr>
  <dimension ref="A1:U50"/>
  <sheetViews>
    <sheetView showGridLines="0" zoomScale="80" zoomScaleNormal="80" zoomScaleSheetLayoutView="90" zoomScalePageLayoutView="85" workbookViewId="0">
      <selection activeCell="W12" sqref="W12"/>
    </sheetView>
  </sheetViews>
  <sheetFormatPr defaultRowHeight="15"/>
  <cols>
    <col min="2" max="2" width="29.85546875" customWidth="1"/>
    <col min="3" max="3" width="9.85546875" hidden="1" customWidth="1"/>
    <col min="4" max="4" width="9.140625" bestFit="1" customWidth="1"/>
    <col min="5" max="5" width="10.42578125" hidden="1" customWidth="1"/>
    <col min="6" max="6" width="21.42578125" customWidth="1"/>
    <col min="7" max="7" width="17.42578125" hidden="1" customWidth="1"/>
    <col min="8" max="8" width="15.85546875" hidden="1" customWidth="1"/>
    <col min="9" max="9" width="12.85546875" customWidth="1"/>
    <col min="10" max="10" width="16.85546875" customWidth="1"/>
    <col min="11" max="11" width="16.85546875" hidden="1" customWidth="1"/>
    <col min="12" max="12" width="8.140625" customWidth="1"/>
    <col min="13" max="14" width="10.140625" bestFit="1" customWidth="1"/>
    <col min="15" max="16" width="17.5703125" hidden="1" customWidth="1"/>
    <col min="17" max="19" width="12.140625" hidden="1" customWidth="1"/>
  </cols>
  <sheetData>
    <row r="1" spans="1:21" ht="18.75">
      <c r="B1" s="1602" t="str">
        <f>UPPER('Input Page'!$F$32)</f>
        <v/>
      </c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</row>
    <row r="2" spans="1:21" ht="18.75">
      <c r="B2" s="1602" t="s">
        <v>607</v>
      </c>
      <c r="C2" s="1602"/>
      <c r="D2" s="1602"/>
      <c r="E2" s="1602"/>
      <c r="F2" s="1602"/>
      <c r="G2" s="1602"/>
      <c r="H2" s="1602"/>
      <c r="I2" s="1602"/>
      <c r="J2" s="1602"/>
      <c r="K2" s="1602"/>
      <c r="L2" s="1602"/>
      <c r="M2" s="1602"/>
      <c r="N2" s="1602"/>
    </row>
    <row r="3" spans="1:21" ht="16.5" thickBot="1">
      <c r="B3" s="7"/>
      <c r="C3" s="7"/>
      <c r="D3" s="7"/>
      <c r="E3" s="7"/>
      <c r="F3" s="7"/>
      <c r="G3" s="7"/>
      <c r="H3" s="7"/>
      <c r="I3" s="1686"/>
      <c r="J3" s="1686"/>
      <c r="K3" s="1686"/>
      <c r="L3" s="139"/>
      <c r="M3" s="285"/>
      <c r="N3" s="285"/>
      <c r="O3" s="1124" t="s">
        <v>191</v>
      </c>
      <c r="P3" s="1125">
        <f>'LIHTC Exec Summary'!E8</f>
        <v>0</v>
      </c>
      <c r="Q3" s="89"/>
    </row>
    <row r="4" spans="1:21" ht="66" customHeight="1" thickBot="1">
      <c r="B4" s="1105" t="s">
        <v>175</v>
      </c>
      <c r="C4" s="1106" t="s">
        <v>177</v>
      </c>
      <c r="D4" s="1106" t="s">
        <v>178</v>
      </c>
      <c r="E4" s="1106" t="s">
        <v>608</v>
      </c>
      <c r="F4" s="1106" t="s">
        <v>1082</v>
      </c>
      <c r="G4" s="1106" t="str">
        <f>'Input Page'!H149</f>
        <v>MU2M/Rehab Increase</v>
      </c>
      <c r="H4" s="1106" t="s">
        <v>182</v>
      </c>
      <c r="I4" s="1107" t="s">
        <v>184</v>
      </c>
      <c r="J4" s="1106" t="s">
        <v>185</v>
      </c>
      <c r="K4" s="1373" t="s">
        <v>609</v>
      </c>
      <c r="L4" s="1126" t="s">
        <v>610</v>
      </c>
      <c r="M4" s="1108" t="s">
        <v>189</v>
      </c>
      <c r="N4" s="1109" t="s">
        <v>190</v>
      </c>
      <c r="O4" s="1122">
        <v>1.4</v>
      </c>
      <c r="P4" s="1123">
        <v>1.5</v>
      </c>
      <c r="Q4" s="1095" t="s">
        <v>194</v>
      </c>
      <c r="R4" s="1096"/>
      <c r="S4" s="1095" t="s">
        <v>194</v>
      </c>
      <c r="U4" s="89"/>
    </row>
    <row r="5" spans="1:21" ht="31.5">
      <c r="B5" s="1115" t="str">
        <f>'Input Page'!B150</f>
        <v>HUD UNITS (SECTION 8)</v>
      </c>
      <c r="C5" s="1110"/>
      <c r="D5" s="1111"/>
      <c r="E5" s="1111"/>
      <c r="F5" s="1112" t="str">
        <f>'Input Page'!G150</f>
        <v>Current HAP Rents As Of - Jan-00</v>
      </c>
      <c r="G5" s="1112" t="str">
        <f>'Input Page'!H150</f>
        <v>RCS Feedback</v>
      </c>
      <c r="H5" s="1111"/>
      <c r="I5" s="138"/>
      <c r="J5" s="1113"/>
      <c r="K5" s="222"/>
      <c r="L5" s="1127"/>
      <c r="M5" s="1114"/>
      <c r="N5" s="1116"/>
      <c r="O5" s="444"/>
      <c r="P5" s="287"/>
      <c r="Q5" s="485"/>
      <c r="R5" s="485"/>
      <c r="S5" s="485"/>
      <c r="U5" s="88" t="s">
        <v>611</v>
      </c>
    </row>
    <row r="6" spans="1:21" ht="15.75">
      <c r="B6" s="1101" t="str">
        <f>IF('Input Page'!B151="","",'Input Page'!B151)</f>
        <v/>
      </c>
      <c r="C6" s="168" t="str">
        <f>IF(B6="","",'Input Page'!D151)</f>
        <v/>
      </c>
      <c r="D6" s="484" t="str">
        <f>IF(B6="","",'Input Page'!E151)</f>
        <v/>
      </c>
      <c r="E6" s="484" t="str">
        <f>IF(B6="","",'Input Page'!F151)</f>
        <v/>
      </c>
      <c r="F6" s="1533" t="str">
        <f>IF(B6="","",'Input Page'!G151)</f>
        <v/>
      </c>
      <c r="G6" s="1098" t="str">
        <f>IF(B6="","",'Input Page'!H151)</f>
        <v/>
      </c>
      <c r="H6" s="484" t="str">
        <f>IF(B6="","",'Input Page'!I151)</f>
        <v/>
      </c>
      <c r="I6" s="1535" t="str">
        <f>IF(B6="","",'Input Page'!K151)</f>
        <v/>
      </c>
      <c r="J6" s="1535" t="e">
        <f>F6+I6</f>
        <v>#VALUE!</v>
      </c>
      <c r="K6" s="555" t="str">
        <f>IF(B6="","",'Input Page'!M151)</f>
        <v/>
      </c>
      <c r="L6" s="1128" t="str">
        <f>IF('Input Page'!O151=0,"",'Input Page'!O151)</f>
        <v/>
      </c>
      <c r="M6" s="494" t="str">
        <f>'Input Page'!P151</f>
        <v/>
      </c>
      <c r="N6" s="793" t="str">
        <f>'Input Page'!Q151</f>
        <v/>
      </c>
      <c r="O6" s="444" t="str">
        <f>'Input Page'!R151</f>
        <v/>
      </c>
      <c r="P6" s="287" t="str">
        <f>'Input Page'!S151</f>
        <v/>
      </c>
      <c r="Q6" s="1099" t="str">
        <f>IF(B6="","",F6*D6*12)</f>
        <v/>
      </c>
      <c r="R6" s="485"/>
      <c r="S6" s="485" t="str">
        <f>IF(B6="","",H6*D6*12)</f>
        <v/>
      </c>
    </row>
    <row r="7" spans="1:21" ht="15.75">
      <c r="B7" s="135" t="str">
        <f>IF('Input Page'!B152="","",'Input Page'!B152)</f>
        <v/>
      </c>
      <c r="C7" s="168" t="str">
        <f>IF(B7="","",'Input Page'!D152)</f>
        <v/>
      </c>
      <c r="D7" s="484" t="str">
        <f>IF(B7="","",'Input Page'!E152)</f>
        <v/>
      </c>
      <c r="E7" s="484" t="str">
        <f>IF(B7="","",'Input Page'!F152)</f>
        <v/>
      </c>
      <c r="F7" s="1534" t="str">
        <f>IF(B7="","",'Input Page'!G152)</f>
        <v/>
      </c>
      <c r="G7" s="484" t="str">
        <f>IF(B7="","",'Input Page'!H152)</f>
        <v/>
      </c>
      <c r="H7" s="484" t="str">
        <f>IF(B7="","",'Input Page'!I152)</f>
        <v/>
      </c>
      <c r="I7" s="1535" t="str">
        <f>IF(B7="","",'Input Page'!K152)</f>
        <v/>
      </c>
      <c r="J7" s="1535" t="e">
        <f t="shared" ref="J7:J8" si="0">F7+I7</f>
        <v>#VALUE!</v>
      </c>
      <c r="K7" s="555" t="str">
        <f>IF(B7="","",'Input Page'!M152)</f>
        <v/>
      </c>
      <c r="L7" s="1128" t="str">
        <f>IF('Input Page'!O152=0,"",'Input Page'!O152)</f>
        <v/>
      </c>
      <c r="M7" s="494" t="str">
        <f>'Input Page'!P152</f>
        <v/>
      </c>
      <c r="N7" s="793" t="str">
        <f>'Input Page'!Q152</f>
        <v/>
      </c>
      <c r="O7" s="444" t="str">
        <f>'Input Page'!R152</f>
        <v/>
      </c>
      <c r="P7" s="287" t="str">
        <f>'Input Page'!S152</f>
        <v/>
      </c>
      <c r="Q7" s="1099" t="str">
        <f t="shared" ref="Q7:Q13" si="1">IF(B7="","",F7*D7*12)</f>
        <v/>
      </c>
      <c r="R7" s="485"/>
      <c r="S7" s="485" t="str">
        <f t="shared" ref="S7:S13" si="2">IF(B7="","",H7*D7*12)</f>
        <v/>
      </c>
    </row>
    <row r="8" spans="1:21" ht="15.75">
      <c r="B8" s="135" t="str">
        <f>IF('Input Page'!B153="","",'Input Page'!B153)</f>
        <v/>
      </c>
      <c r="C8" s="168" t="str">
        <f>IF(B8="","",'Input Page'!D153)</f>
        <v/>
      </c>
      <c r="D8" s="484" t="str">
        <f>IF(B8="","",'Input Page'!E153)</f>
        <v/>
      </c>
      <c r="E8" s="484" t="str">
        <f>IF(B8="","",'Input Page'!F153)</f>
        <v/>
      </c>
      <c r="F8" s="1534" t="str">
        <f>IF(B8="","",'Input Page'!G153)</f>
        <v/>
      </c>
      <c r="G8" s="484" t="str">
        <f>IF(B8="","",'Input Page'!H153)</f>
        <v/>
      </c>
      <c r="H8" s="484" t="str">
        <f>IF(B8="","",'Input Page'!I153)</f>
        <v/>
      </c>
      <c r="I8" s="1535" t="str">
        <f>IF(B8="","",'Input Page'!K153)</f>
        <v/>
      </c>
      <c r="J8" s="1535" t="e">
        <f t="shared" si="0"/>
        <v>#VALUE!</v>
      </c>
      <c r="K8" s="555" t="str">
        <f>IF(B8="","",'Input Page'!M153)</f>
        <v/>
      </c>
      <c r="L8" s="1128" t="str">
        <f>IF('Input Page'!O153=0,"",'Input Page'!O153)</f>
        <v/>
      </c>
      <c r="M8" s="494" t="str">
        <f>'Input Page'!P153</f>
        <v/>
      </c>
      <c r="N8" s="793" t="str">
        <f>'Input Page'!Q153</f>
        <v/>
      </c>
      <c r="O8" s="444" t="str">
        <f>'Input Page'!R153</f>
        <v/>
      </c>
      <c r="P8" s="287" t="str">
        <f>'Input Page'!S153</f>
        <v/>
      </c>
      <c r="Q8" s="1099" t="str">
        <f t="shared" si="1"/>
        <v/>
      </c>
      <c r="R8" s="485"/>
      <c r="S8" s="485" t="str">
        <f t="shared" si="2"/>
        <v/>
      </c>
    </row>
    <row r="9" spans="1:21" ht="15.75">
      <c r="B9" s="135" t="str">
        <f>IF('Input Page'!B154="","",'Input Page'!B154)</f>
        <v/>
      </c>
      <c r="C9" s="168" t="str">
        <f>IF(B9="","",'Input Page'!D154)</f>
        <v/>
      </c>
      <c r="D9" s="484" t="str">
        <f>IF(B9="","",'Input Page'!E154)</f>
        <v/>
      </c>
      <c r="E9" s="484" t="str">
        <f>IF(B9="","",'Input Page'!F154)</f>
        <v/>
      </c>
      <c r="F9" s="484" t="str">
        <f>IF(B9="","",'Input Page'!G154)</f>
        <v/>
      </c>
      <c r="G9" s="484" t="str">
        <f>IF(B9="","",'Input Page'!H154)</f>
        <v/>
      </c>
      <c r="H9" s="484" t="str">
        <f>IF(B9="","",'Input Page'!I154)</f>
        <v/>
      </c>
      <c r="I9" s="485" t="str">
        <f>IF(B9="","",'Input Page'!K154)</f>
        <v/>
      </c>
      <c r="J9" s="485" t="str">
        <f>IF(B9="","",'Input Page'!L154)</f>
        <v/>
      </c>
      <c r="K9" s="555" t="str">
        <f>IF(B9="","",'Input Page'!M154)</f>
        <v/>
      </c>
      <c r="L9" s="1128" t="str">
        <f>IF('Input Page'!O154=0,"",'Input Page'!O154)</f>
        <v/>
      </c>
      <c r="M9" s="494" t="str">
        <f>'Input Page'!P154</f>
        <v/>
      </c>
      <c r="N9" s="793" t="str">
        <f>'Input Page'!Q154</f>
        <v/>
      </c>
      <c r="O9" s="444" t="str">
        <f>'Input Page'!R154</f>
        <v/>
      </c>
      <c r="P9" s="287" t="str">
        <f>'Input Page'!S154</f>
        <v/>
      </c>
      <c r="Q9" s="1099" t="str">
        <f t="shared" si="1"/>
        <v/>
      </c>
      <c r="R9" s="485"/>
      <c r="S9" s="485" t="str">
        <f t="shared" si="2"/>
        <v/>
      </c>
    </row>
    <row r="10" spans="1:21" ht="15.75">
      <c r="B10" s="135" t="str">
        <f>IF('Input Page'!B155="","",'Input Page'!B155)</f>
        <v/>
      </c>
      <c r="C10" s="168" t="str">
        <f>IF(B10="","",'Input Page'!D155)</f>
        <v/>
      </c>
      <c r="D10" s="484" t="str">
        <f>IF(B10="","",'Input Page'!E155)</f>
        <v/>
      </c>
      <c r="E10" s="484" t="str">
        <f>IF(B10="","",'Input Page'!F155)</f>
        <v/>
      </c>
      <c r="F10" s="484" t="str">
        <f>IF(B10="","",'Input Page'!G155)</f>
        <v/>
      </c>
      <c r="G10" s="484" t="str">
        <f>IF(B10="","",'Input Page'!H155)</f>
        <v/>
      </c>
      <c r="H10" s="484" t="str">
        <f>IF(B10="","",'Input Page'!I155)</f>
        <v/>
      </c>
      <c r="I10" s="485" t="str">
        <f>IF(B10="","",'Input Page'!K155)</f>
        <v/>
      </c>
      <c r="J10" s="485" t="str">
        <f>IF(B10="","",'Input Page'!L155)</f>
        <v/>
      </c>
      <c r="K10" s="555" t="str">
        <f>IF(B10="","",'Input Page'!M155)</f>
        <v/>
      </c>
      <c r="L10" s="1128" t="str">
        <f>IF('Input Page'!O155=0,"",'Input Page'!O155)</f>
        <v/>
      </c>
      <c r="M10" s="494" t="str">
        <f>'Input Page'!P155</f>
        <v/>
      </c>
      <c r="N10" s="793" t="str">
        <f>'Input Page'!Q155</f>
        <v/>
      </c>
      <c r="O10" s="444" t="str">
        <f>'Input Page'!R155</f>
        <v/>
      </c>
      <c r="P10" s="287" t="str">
        <f>'Input Page'!S155</f>
        <v/>
      </c>
      <c r="Q10" s="1099" t="str">
        <f t="shared" si="1"/>
        <v/>
      </c>
      <c r="R10" s="485"/>
      <c r="S10" s="485" t="str">
        <f t="shared" si="2"/>
        <v/>
      </c>
    </row>
    <row r="11" spans="1:21" ht="15.75">
      <c r="B11" s="135" t="str">
        <f>IF('Input Page'!B156="","",'Input Page'!B156)</f>
        <v/>
      </c>
      <c r="C11" s="168" t="str">
        <f>IF(B11="","",'Input Page'!D156)</f>
        <v/>
      </c>
      <c r="D11" s="484" t="str">
        <f>IF(B11="","",'Input Page'!E156)</f>
        <v/>
      </c>
      <c r="E11" s="484" t="str">
        <f>IF(B11="","",'Input Page'!F156)</f>
        <v/>
      </c>
      <c r="F11" s="484" t="str">
        <f>IF(B11="","",'Input Page'!G156)</f>
        <v/>
      </c>
      <c r="G11" s="484" t="str">
        <f>IF(B11="","",'Input Page'!H156)</f>
        <v/>
      </c>
      <c r="H11" s="484" t="str">
        <f>IF(B11="","",'Input Page'!I156)</f>
        <v/>
      </c>
      <c r="I11" s="485" t="str">
        <f>IF(B11="","",'Input Page'!K156)</f>
        <v/>
      </c>
      <c r="J11" s="485" t="str">
        <f>IF(B11="","",'Input Page'!L156)</f>
        <v/>
      </c>
      <c r="K11" s="555" t="str">
        <f>IF(B11="","",'Input Page'!M156)</f>
        <v/>
      </c>
      <c r="L11" s="1128" t="str">
        <f>IF('Input Page'!O156=0,"",'Input Page'!O156)</f>
        <v/>
      </c>
      <c r="M11" s="494" t="str">
        <f>'Input Page'!P156</f>
        <v/>
      </c>
      <c r="N11" s="793" t="str">
        <f>'Input Page'!Q156</f>
        <v/>
      </c>
      <c r="O11" s="444" t="str">
        <f>'Input Page'!R156</f>
        <v/>
      </c>
      <c r="P11" s="287" t="str">
        <f>'Input Page'!S156</f>
        <v/>
      </c>
      <c r="Q11" s="1099" t="str">
        <f t="shared" si="1"/>
        <v/>
      </c>
      <c r="R11" s="485"/>
      <c r="S11" s="485" t="str">
        <f t="shared" si="2"/>
        <v/>
      </c>
    </row>
    <row r="12" spans="1:21" ht="15.75">
      <c r="B12" s="135" t="str">
        <f>IF('Input Page'!B157="","",'Input Page'!B157)</f>
        <v/>
      </c>
      <c r="C12" s="168" t="str">
        <f>IF(B12="","",'Input Page'!D157)</f>
        <v/>
      </c>
      <c r="D12" s="484" t="str">
        <f>IF(B12="","",'Input Page'!E157)</f>
        <v/>
      </c>
      <c r="E12" s="484" t="str">
        <f>IF(B12="","",'Input Page'!F157)</f>
        <v/>
      </c>
      <c r="F12" s="484" t="str">
        <f>IF(B12="","",'Input Page'!G157)</f>
        <v/>
      </c>
      <c r="G12" s="484" t="str">
        <f>IF(B12="","",'Input Page'!H157)</f>
        <v/>
      </c>
      <c r="H12" s="484" t="str">
        <f>IF(B12="","",'Input Page'!I157)</f>
        <v/>
      </c>
      <c r="I12" s="485" t="str">
        <f>IF(B12="","",'Input Page'!K157)</f>
        <v/>
      </c>
      <c r="J12" s="485" t="str">
        <f>IF(B12="","",'Input Page'!L157)</f>
        <v/>
      </c>
      <c r="K12" s="555" t="str">
        <f>IF(B12="","",'Input Page'!M157)</f>
        <v/>
      </c>
      <c r="L12" s="1128" t="str">
        <f>IF('Input Page'!O157=0,"",'Input Page'!O157)</f>
        <v/>
      </c>
      <c r="M12" s="494" t="str">
        <f>'Input Page'!P157</f>
        <v/>
      </c>
      <c r="N12" s="793" t="str">
        <f>'Input Page'!Q157</f>
        <v/>
      </c>
      <c r="O12" s="444" t="str">
        <f>'Input Page'!R157</f>
        <v/>
      </c>
      <c r="P12" s="287" t="str">
        <f>'Input Page'!S157</f>
        <v/>
      </c>
      <c r="Q12" s="1099" t="str">
        <f t="shared" si="1"/>
        <v/>
      </c>
      <c r="R12" s="485"/>
      <c r="S12" s="485" t="str">
        <f t="shared" si="2"/>
        <v/>
      </c>
    </row>
    <row r="13" spans="1:21" ht="15.75">
      <c r="B13" s="794" t="str">
        <f>IF('Input Page'!B158="","",'Input Page'!B158)</f>
        <v/>
      </c>
      <c r="C13" s="1074" t="str">
        <f>IF(B13="","",'Input Page'!D158)</f>
        <v/>
      </c>
      <c r="D13" s="492" t="str">
        <f>IF(B13="","",'Input Page'!E158)</f>
        <v/>
      </c>
      <c r="E13" s="492" t="str">
        <f>IF(B13="","",'Input Page'!F158)</f>
        <v/>
      </c>
      <c r="F13" s="492" t="str">
        <f>IF(B13="","",'Input Page'!G158)</f>
        <v/>
      </c>
      <c r="G13" s="492" t="str">
        <f>IF(B13="","",'Input Page'!H158)</f>
        <v/>
      </c>
      <c r="H13" s="492" t="str">
        <f>IF(B13="","",'Input Page'!I158)</f>
        <v/>
      </c>
      <c r="I13" s="1047" t="str">
        <f>IF(B13="","",'Input Page'!K158)</f>
        <v/>
      </c>
      <c r="J13" s="1047" t="str">
        <f>IF(B13="","",'Input Page'!L158)</f>
        <v/>
      </c>
      <c r="K13" s="1374" t="str">
        <f>IF(B13="","",'Input Page'!M158)</f>
        <v/>
      </c>
      <c r="L13" s="1129" t="str">
        <f>IF('Input Page'!O158=0,"",'Input Page'!O158)</f>
        <v/>
      </c>
      <c r="M13" s="496" t="str">
        <f>'Input Page'!P158</f>
        <v/>
      </c>
      <c r="N13" s="795" t="str">
        <f>'Input Page'!Q158</f>
        <v/>
      </c>
      <c r="O13" s="444" t="str">
        <f>'Input Page'!R158</f>
        <v/>
      </c>
      <c r="P13" s="287" t="str">
        <f>'Input Page'!S158</f>
        <v/>
      </c>
      <c r="Q13" s="1100" t="str">
        <f t="shared" si="1"/>
        <v/>
      </c>
      <c r="R13" s="1047"/>
      <c r="S13" s="1047" t="str">
        <f t="shared" si="2"/>
        <v/>
      </c>
    </row>
    <row r="14" spans="1:21" ht="15.75">
      <c r="B14" s="1525" t="s">
        <v>612</v>
      </c>
      <c r="C14" s="673"/>
      <c r="D14" s="751">
        <f>SUM(D6:D13)</f>
        <v>0</v>
      </c>
      <c r="E14" s="1098"/>
      <c r="F14" s="1531">
        <f>Q14</f>
        <v>0</v>
      </c>
      <c r="G14" s="751"/>
      <c r="H14" s="751">
        <f>S14</f>
        <v>0</v>
      </c>
      <c r="I14" s="482"/>
      <c r="J14" s="482"/>
      <c r="K14" s="1526"/>
      <c r="L14" s="1527"/>
      <c r="M14" s="584"/>
      <c r="N14" s="1528"/>
      <c r="O14" s="444"/>
      <c r="P14" s="287"/>
      <c r="Q14" s="693">
        <f>SUM(Q6:Q13)</f>
        <v>0</v>
      </c>
      <c r="R14" s="693"/>
      <c r="S14" s="693">
        <f t="shared" ref="S14" si="3">SUM(S6:S13)</f>
        <v>0</v>
      </c>
    </row>
    <row r="15" spans="1:21" ht="16.5" thickBot="1">
      <c r="A15" s="24"/>
      <c r="B15" s="927" t="s">
        <v>1083</v>
      </c>
      <c r="C15" s="1529"/>
      <c r="D15" s="1529"/>
      <c r="E15" s="1529"/>
      <c r="F15" s="1532">
        <f>F14/12</f>
        <v>0</v>
      </c>
      <c r="G15" s="1529"/>
      <c r="H15" s="1529"/>
      <c r="I15" s="1529"/>
      <c r="J15" s="1529"/>
      <c r="K15" s="1529"/>
      <c r="L15" s="1529"/>
      <c r="M15" s="1529"/>
      <c r="N15" s="1530"/>
      <c r="O15" s="24"/>
      <c r="P15" s="24"/>
      <c r="Q15" s="24"/>
      <c r="R15" s="24"/>
      <c r="S15" s="24"/>
      <c r="T15" s="24"/>
      <c r="U15" s="24"/>
    </row>
    <row r="16" spans="1:21" ht="15.75" hidden="1">
      <c r="B16" s="1094" t="str">
        <f>'Input Page'!B159</f>
        <v>LIHTC UNITS</v>
      </c>
      <c r="C16" s="53"/>
      <c r="D16" s="173"/>
      <c r="E16" s="173"/>
      <c r="F16" s="1103" t="str">
        <f>'Input Page'!G159</f>
        <v>Current LIHTC Net</v>
      </c>
      <c r="G16" s="1103" t="str">
        <f>'Input Page'!H159</f>
        <v>Rehab Increase</v>
      </c>
      <c r="H16" s="173"/>
      <c r="I16" s="485"/>
      <c r="J16" s="485"/>
      <c r="K16" s="555"/>
      <c r="L16" s="1128"/>
      <c r="M16" s="494"/>
      <c r="N16" s="793"/>
      <c r="O16" s="444"/>
      <c r="P16" s="287"/>
      <c r="Q16" s="485"/>
      <c r="R16" s="485"/>
      <c r="S16" s="485"/>
    </row>
    <row r="17" spans="2:19" ht="15.75" hidden="1">
      <c r="B17" s="1101" t="str">
        <f>IF('Input Page'!B160="","",'Input Page'!B160)</f>
        <v/>
      </c>
      <c r="C17" s="168" t="str">
        <f>IF(B17="","",'Input Page'!D160)</f>
        <v/>
      </c>
      <c r="D17" s="484" t="str">
        <f>IF(B17="","",'Input Page'!E160)</f>
        <v/>
      </c>
      <c r="E17" s="484" t="str">
        <f>IF(B17="","",'Input Page'!F160)</f>
        <v/>
      </c>
      <c r="F17" s="1098" t="str">
        <f>IF(B17="","",'Input Page'!G160)</f>
        <v/>
      </c>
      <c r="G17" s="1098" t="str">
        <f>IF(B17="","",'Input Page'!H160)</f>
        <v/>
      </c>
      <c r="H17" s="484" t="str">
        <f>IF(B17="","",'Input Page'!I160)</f>
        <v/>
      </c>
      <c r="I17" s="485" t="str">
        <f>IF(B17="","",'Input Page'!K160)</f>
        <v/>
      </c>
      <c r="J17" s="485" t="str">
        <f>IF(B17="","",'Input Page'!L160)</f>
        <v/>
      </c>
      <c r="K17" s="555" t="str">
        <f>IF(B17="","",'Input Page'!M160)</f>
        <v/>
      </c>
      <c r="L17" s="1128"/>
      <c r="M17" s="494"/>
      <c r="N17" s="793"/>
      <c r="O17" s="444"/>
      <c r="P17" s="287"/>
      <c r="Q17" s="1099" t="str">
        <f t="shared" ref="Q17:Q26" si="4">IF(B17="","",F17*D17*12)</f>
        <v/>
      </c>
      <c r="R17" s="485"/>
      <c r="S17" s="485" t="str">
        <f t="shared" ref="S17:S26" si="5">IF(B17="","",H17*D17*12)</f>
        <v/>
      </c>
    </row>
    <row r="18" spans="2:19" ht="15.75" hidden="1">
      <c r="B18" s="135" t="str">
        <f>IF('Input Page'!B161="","",'Input Page'!B161)</f>
        <v/>
      </c>
      <c r="C18" s="168" t="str">
        <f>IF(B18="","",'Input Page'!D161)</f>
        <v/>
      </c>
      <c r="D18" s="484" t="str">
        <f>IF(B18="","",'Input Page'!E161)</f>
        <v/>
      </c>
      <c r="E18" s="484" t="str">
        <f>IF(B18="","",'Input Page'!F161)</f>
        <v/>
      </c>
      <c r="F18" s="484" t="str">
        <f>IF(B18="","",'Input Page'!G161)</f>
        <v/>
      </c>
      <c r="G18" s="484" t="str">
        <f>IF(B18="","",'Input Page'!H161)</f>
        <v/>
      </c>
      <c r="H18" s="484" t="str">
        <f>IF(B18="","",'Input Page'!I161)</f>
        <v/>
      </c>
      <c r="I18" s="485" t="str">
        <f>IF(B18="","",'Input Page'!K161)</f>
        <v/>
      </c>
      <c r="J18" s="485" t="str">
        <f>IF(B18="","",'Input Page'!L161)</f>
        <v/>
      </c>
      <c r="K18" s="555" t="str">
        <f>IF(B18="","",'Input Page'!M161)</f>
        <v/>
      </c>
      <c r="L18" s="1128"/>
      <c r="M18" s="494"/>
      <c r="N18" s="793"/>
      <c r="O18" s="444"/>
      <c r="P18" s="287"/>
      <c r="Q18" s="1099" t="str">
        <f t="shared" si="4"/>
        <v/>
      </c>
      <c r="R18" s="485"/>
      <c r="S18" s="485" t="str">
        <f t="shared" si="5"/>
        <v/>
      </c>
    </row>
    <row r="19" spans="2:19" ht="15.75" hidden="1">
      <c r="B19" s="135" t="str">
        <f>IF('Input Page'!B162="","",'Input Page'!B162)</f>
        <v/>
      </c>
      <c r="C19" s="168" t="str">
        <f>IF(B19="","",'Input Page'!D162)</f>
        <v/>
      </c>
      <c r="D19" s="484" t="str">
        <f>IF(B19="","",'Input Page'!E162)</f>
        <v/>
      </c>
      <c r="E19" s="484" t="str">
        <f>IF(B19="","",'Input Page'!F162)</f>
        <v/>
      </c>
      <c r="F19" s="484" t="str">
        <f>IF(B19="","",'Input Page'!G162)</f>
        <v/>
      </c>
      <c r="G19" s="484" t="str">
        <f>IF(B19="","",'Input Page'!H162)</f>
        <v/>
      </c>
      <c r="H19" s="484" t="str">
        <f>IF(B19="","",'Input Page'!I162)</f>
        <v/>
      </c>
      <c r="I19" s="485" t="str">
        <f>IF(B19="","",'Input Page'!K162)</f>
        <v/>
      </c>
      <c r="J19" s="485" t="str">
        <f>IF(B19="","",'Input Page'!L162)</f>
        <v/>
      </c>
      <c r="K19" s="555" t="str">
        <f>IF(B19="","",'Input Page'!M162)</f>
        <v/>
      </c>
      <c r="L19" s="1128"/>
      <c r="M19" s="494"/>
      <c r="N19" s="793"/>
      <c r="O19" s="444"/>
      <c r="P19" s="287"/>
      <c r="Q19" s="1099" t="str">
        <f t="shared" si="4"/>
        <v/>
      </c>
      <c r="R19" s="485"/>
      <c r="S19" s="485" t="str">
        <f t="shared" si="5"/>
        <v/>
      </c>
    </row>
    <row r="20" spans="2:19" ht="15.75" hidden="1">
      <c r="B20" s="135" t="str">
        <f>IF('Input Page'!B163="","",'Input Page'!B163)</f>
        <v/>
      </c>
      <c r="C20" s="168" t="str">
        <f>IF(B20="","",'Input Page'!D163)</f>
        <v/>
      </c>
      <c r="D20" s="484" t="str">
        <f>IF(B20="","",'Input Page'!E163)</f>
        <v/>
      </c>
      <c r="E20" s="484" t="str">
        <f>IF(B20="","",'Input Page'!F163)</f>
        <v/>
      </c>
      <c r="F20" s="484" t="str">
        <f>IF(B20="","",'Input Page'!G163)</f>
        <v/>
      </c>
      <c r="G20" s="484" t="str">
        <f>IF(B20="","",'Input Page'!H163)</f>
        <v/>
      </c>
      <c r="H20" s="484" t="str">
        <f>IF(B20="","",'Input Page'!I163)</f>
        <v/>
      </c>
      <c r="I20" s="485" t="str">
        <f>IF(B20="","",'Input Page'!K163)</f>
        <v/>
      </c>
      <c r="J20" s="485" t="str">
        <f>IF(B20="","",'Input Page'!L163)</f>
        <v/>
      </c>
      <c r="K20" s="555" t="str">
        <f>IF(B20="","",'Input Page'!M163)</f>
        <v/>
      </c>
      <c r="L20" s="1128"/>
      <c r="M20" s="494"/>
      <c r="N20" s="793"/>
      <c r="O20" s="444"/>
      <c r="P20" s="287"/>
      <c r="Q20" s="1099" t="str">
        <f t="shared" si="4"/>
        <v/>
      </c>
      <c r="R20" s="485"/>
      <c r="S20" s="485" t="str">
        <f t="shared" si="5"/>
        <v/>
      </c>
    </row>
    <row r="21" spans="2:19" ht="15.75" hidden="1">
      <c r="B21" s="135" t="str">
        <f>IF('Input Page'!B164="","",'Input Page'!B164)</f>
        <v/>
      </c>
      <c r="C21" s="168" t="str">
        <f>IF(B21="","",'Input Page'!D164)</f>
        <v/>
      </c>
      <c r="D21" s="484" t="str">
        <f>IF(B21="","",'Input Page'!E164)</f>
        <v/>
      </c>
      <c r="E21" s="484" t="str">
        <f>IF(B21="","",'Input Page'!F164)</f>
        <v/>
      </c>
      <c r="F21" s="484" t="str">
        <f>IF(B21="","",'Input Page'!G164)</f>
        <v/>
      </c>
      <c r="G21" s="484" t="str">
        <f>IF(B21="","",'Input Page'!H164)</f>
        <v/>
      </c>
      <c r="H21" s="484" t="str">
        <f>IF(B21="","",'Input Page'!I164)</f>
        <v/>
      </c>
      <c r="I21" s="485" t="str">
        <f>IF(B21="","",'Input Page'!K164)</f>
        <v/>
      </c>
      <c r="J21" s="485" t="str">
        <f>IF(B21="","",'Input Page'!L164)</f>
        <v/>
      </c>
      <c r="K21" s="555" t="str">
        <f>IF(B21="","",'Input Page'!M164)</f>
        <v/>
      </c>
      <c r="L21" s="1128"/>
      <c r="M21" s="494"/>
      <c r="N21" s="793"/>
      <c r="O21" s="444"/>
      <c r="P21" s="287"/>
      <c r="Q21" s="1099" t="str">
        <f t="shared" si="4"/>
        <v/>
      </c>
      <c r="R21" s="485"/>
      <c r="S21" s="485" t="str">
        <f t="shared" si="5"/>
        <v/>
      </c>
    </row>
    <row r="22" spans="2:19" ht="15.75" hidden="1">
      <c r="B22" s="135" t="str">
        <f>IF('Input Page'!B165="","",'Input Page'!B165)</f>
        <v/>
      </c>
      <c r="C22" s="168" t="str">
        <f>IF(B22="","",'Input Page'!D165)</f>
        <v/>
      </c>
      <c r="D22" s="484" t="str">
        <f>IF(B22="","",'Input Page'!E165)</f>
        <v/>
      </c>
      <c r="E22" s="484" t="str">
        <f>IF(B22="","",'Input Page'!F165)</f>
        <v/>
      </c>
      <c r="F22" s="484" t="str">
        <f>IF(B22="","",'Input Page'!G165)</f>
        <v/>
      </c>
      <c r="G22" s="484" t="str">
        <f>IF(B22="","",'Input Page'!H165)</f>
        <v/>
      </c>
      <c r="H22" s="484" t="str">
        <f>IF(B22="","",'Input Page'!I165)</f>
        <v/>
      </c>
      <c r="I22" s="485" t="str">
        <f>IF(B22="","",'Input Page'!K165)</f>
        <v/>
      </c>
      <c r="J22" s="485" t="str">
        <f>IF(B22="","",'Input Page'!L165)</f>
        <v/>
      </c>
      <c r="K22" s="555" t="str">
        <f>IF(B22="","",'Input Page'!M165)</f>
        <v/>
      </c>
      <c r="L22" s="1128"/>
      <c r="M22" s="494"/>
      <c r="N22" s="793"/>
      <c r="O22" s="444"/>
      <c r="P22" s="287"/>
      <c r="Q22" s="1099" t="str">
        <f t="shared" si="4"/>
        <v/>
      </c>
      <c r="R22" s="485"/>
      <c r="S22" s="485" t="str">
        <f t="shared" si="5"/>
        <v/>
      </c>
    </row>
    <row r="23" spans="2:19" ht="15.75" hidden="1">
      <c r="B23" s="135" t="str">
        <f>IF('Input Page'!B166="","",'Input Page'!B166)</f>
        <v/>
      </c>
      <c r="C23" s="168" t="str">
        <f>IF(B23="","",'Input Page'!D166)</f>
        <v/>
      </c>
      <c r="D23" s="484" t="str">
        <f>IF(B23="","",'Input Page'!E166)</f>
        <v/>
      </c>
      <c r="E23" s="484" t="str">
        <f>IF(B23="","",'Input Page'!F166)</f>
        <v/>
      </c>
      <c r="F23" s="484" t="str">
        <f>IF(B23="","",'Input Page'!G166)</f>
        <v/>
      </c>
      <c r="G23" s="484" t="str">
        <f>IF(B23="","",'Input Page'!H166)</f>
        <v/>
      </c>
      <c r="H23" s="484" t="str">
        <f>IF(B23="","",'Input Page'!I166)</f>
        <v/>
      </c>
      <c r="I23" s="485" t="str">
        <f>IF(B23="","",'Input Page'!K166)</f>
        <v/>
      </c>
      <c r="J23" s="485" t="str">
        <f>IF(B23="","",'Input Page'!L166)</f>
        <v/>
      </c>
      <c r="K23" s="555" t="str">
        <f>IF(B23="","",'Input Page'!M166)</f>
        <v/>
      </c>
      <c r="L23" s="1128"/>
      <c r="M23" s="494"/>
      <c r="N23" s="793"/>
      <c r="O23" s="444"/>
      <c r="P23" s="287"/>
      <c r="Q23" s="1099" t="str">
        <f t="shared" si="4"/>
        <v/>
      </c>
      <c r="R23" s="485"/>
      <c r="S23" s="485" t="str">
        <f t="shared" si="5"/>
        <v/>
      </c>
    </row>
    <row r="24" spans="2:19" ht="15.75" hidden="1">
      <c r="B24" s="135" t="str">
        <f>IF('Input Page'!B167="","",'Input Page'!B167)</f>
        <v/>
      </c>
      <c r="C24" s="168" t="str">
        <f>IF(B24="","",'Input Page'!D167)</f>
        <v/>
      </c>
      <c r="D24" s="484" t="str">
        <f>IF(B24="","",'Input Page'!E167)</f>
        <v/>
      </c>
      <c r="E24" s="484" t="str">
        <f>IF(B24="","",'Input Page'!F167)</f>
        <v/>
      </c>
      <c r="F24" s="484" t="str">
        <f>IF(B24="","",'Input Page'!G167)</f>
        <v/>
      </c>
      <c r="G24" s="484" t="str">
        <f>IF(B24="","",'Input Page'!H167)</f>
        <v/>
      </c>
      <c r="H24" s="484" t="str">
        <f>IF(B24="","",'Input Page'!I167)</f>
        <v/>
      </c>
      <c r="I24" s="485" t="str">
        <f>IF(B24="","",'Input Page'!K167)</f>
        <v/>
      </c>
      <c r="J24" s="485" t="str">
        <f>IF(B24="","",'Input Page'!L167)</f>
        <v/>
      </c>
      <c r="K24" s="555" t="str">
        <f>IF(B24="","",'Input Page'!M167)</f>
        <v/>
      </c>
      <c r="L24" s="1128"/>
      <c r="M24" s="494"/>
      <c r="N24" s="793"/>
      <c r="O24" s="444"/>
      <c r="P24" s="287"/>
      <c r="Q24" s="1099" t="str">
        <f t="shared" si="4"/>
        <v/>
      </c>
      <c r="R24" s="485"/>
      <c r="S24" s="485" t="str">
        <f t="shared" si="5"/>
        <v/>
      </c>
    </row>
    <row r="25" spans="2:19" ht="15.75" hidden="1">
      <c r="B25" s="135" t="str">
        <f>IF('Input Page'!B168="","",'Input Page'!B168)</f>
        <v/>
      </c>
      <c r="C25" s="168" t="str">
        <f>IF(B25="","",'Input Page'!D168)</f>
        <v/>
      </c>
      <c r="D25" s="484" t="str">
        <f>IF(B25="","",'Input Page'!E168)</f>
        <v/>
      </c>
      <c r="E25" s="484" t="str">
        <f>IF(B25="","",'Input Page'!F168)</f>
        <v/>
      </c>
      <c r="F25" s="484" t="str">
        <f>IF(B25="","",'Input Page'!G168)</f>
        <v/>
      </c>
      <c r="G25" s="484" t="str">
        <f>IF(B25="","",'Input Page'!H168)</f>
        <v/>
      </c>
      <c r="H25" s="484" t="str">
        <f>IF(B25="","",'Input Page'!I168)</f>
        <v/>
      </c>
      <c r="I25" s="485" t="str">
        <f>IF(B25="","",'Input Page'!K168)</f>
        <v/>
      </c>
      <c r="J25" s="485" t="str">
        <f>IF(B25="","",'Input Page'!L168)</f>
        <v/>
      </c>
      <c r="K25" s="555" t="str">
        <f>IF(B25="","",'Input Page'!M168)</f>
        <v/>
      </c>
      <c r="L25" s="1128"/>
      <c r="M25" s="494"/>
      <c r="N25" s="793"/>
      <c r="O25" s="444"/>
      <c r="P25" s="287"/>
      <c r="Q25" s="1099" t="str">
        <f t="shared" si="4"/>
        <v/>
      </c>
      <c r="R25" s="485"/>
      <c r="S25" s="485" t="str">
        <f t="shared" si="5"/>
        <v/>
      </c>
    </row>
    <row r="26" spans="2:19" ht="15.75" hidden="1">
      <c r="B26" s="794" t="str">
        <f>IF('Input Page'!B169="","",'Input Page'!B169)</f>
        <v/>
      </c>
      <c r="C26" s="1074" t="str">
        <f>IF(B26="","",'Input Page'!D169)</f>
        <v/>
      </c>
      <c r="D26" s="492" t="str">
        <f>IF(B26="","",'Input Page'!E169)</f>
        <v/>
      </c>
      <c r="E26" s="492" t="str">
        <f>IF(B26="","",'Input Page'!F169)</f>
        <v/>
      </c>
      <c r="F26" s="492" t="str">
        <f>IF(B26="","",'Input Page'!G169)</f>
        <v/>
      </c>
      <c r="G26" s="492" t="str">
        <f>IF(B26="","",'Input Page'!H169)</f>
        <v/>
      </c>
      <c r="H26" s="492" t="str">
        <f>IF(B26="","",'Input Page'!I169)</f>
        <v/>
      </c>
      <c r="I26" s="1047" t="str">
        <f>IF(B26="","",'Input Page'!K169)</f>
        <v/>
      </c>
      <c r="J26" s="1047" t="str">
        <f>IF(B26="","",'Input Page'!L169)</f>
        <v/>
      </c>
      <c r="K26" s="1374" t="str">
        <f>IF(B26="","",'Input Page'!M169)</f>
        <v/>
      </c>
      <c r="L26" s="1129"/>
      <c r="M26" s="496"/>
      <c r="N26" s="795"/>
      <c r="O26" s="444"/>
      <c r="P26" s="287"/>
      <c r="Q26" s="1100" t="str">
        <f t="shared" si="4"/>
        <v/>
      </c>
      <c r="R26" s="1047"/>
      <c r="S26" s="1047" t="str">
        <f t="shared" si="5"/>
        <v/>
      </c>
    </row>
    <row r="27" spans="2:19" ht="15.75" hidden="1">
      <c r="B27" s="796" t="s">
        <v>613</v>
      </c>
      <c r="C27" s="53"/>
      <c r="D27" s="733">
        <f>SUM(D17:D26)</f>
        <v>0</v>
      </c>
      <c r="E27" s="173"/>
      <c r="F27" s="732">
        <f>Q27</f>
        <v>0</v>
      </c>
      <c r="G27" s="173"/>
      <c r="H27" s="732">
        <f>S27</f>
        <v>0</v>
      </c>
      <c r="I27" s="792"/>
      <c r="J27" s="792"/>
      <c r="K27" s="1375"/>
      <c r="L27" s="1130"/>
      <c r="M27" s="174"/>
      <c r="N27" s="797"/>
      <c r="O27" s="444"/>
      <c r="P27" s="287"/>
      <c r="Q27" s="693">
        <f>SUM(Q16:Q26)</f>
        <v>0</v>
      </c>
      <c r="R27" s="693"/>
      <c r="S27" s="693">
        <f t="shared" ref="S27" si="6">SUM(S16:S26)</f>
        <v>0</v>
      </c>
    </row>
    <row r="28" spans="2:19" ht="15.75" hidden="1">
      <c r="B28" s="135"/>
      <c r="D28" s="798"/>
      <c r="E28" s="173"/>
      <c r="F28" s="173"/>
      <c r="G28" s="173"/>
      <c r="H28" s="173"/>
      <c r="I28" s="792"/>
      <c r="J28" s="792"/>
      <c r="K28" s="1375"/>
      <c r="L28" s="1130"/>
      <c r="M28" s="174"/>
      <c r="N28" s="797"/>
      <c r="O28" s="444"/>
      <c r="P28" s="287"/>
      <c r="Q28" s="485"/>
      <c r="R28" s="485"/>
      <c r="S28" s="485"/>
    </row>
    <row r="29" spans="2:19" ht="15.75">
      <c r="B29" s="1094" t="str">
        <f>'Input Page'!B172</f>
        <v>MARKET UNITS</v>
      </c>
      <c r="D29" s="798"/>
      <c r="E29" s="173"/>
      <c r="F29" s="1103" t="str">
        <f>'Input Page'!G172</f>
        <v>Proposed Mkt. Rents</v>
      </c>
      <c r="G29" s="1103" t="str">
        <f>'Input Page'!H172</f>
        <v>Rehab Increase</v>
      </c>
      <c r="H29" s="173"/>
      <c r="I29" s="792"/>
      <c r="J29" s="792"/>
      <c r="K29" s="1375"/>
      <c r="L29" s="1130"/>
      <c r="M29" s="174"/>
      <c r="N29" s="797"/>
      <c r="O29" s="444"/>
      <c r="P29" s="287"/>
      <c r="Q29" s="485"/>
      <c r="R29" s="485"/>
      <c r="S29" s="485"/>
    </row>
    <row r="30" spans="2:19" ht="15.75">
      <c r="B30" s="135" t="str">
        <f>IF('Input Page'!B173="","",'Input Page'!B173)</f>
        <v/>
      </c>
      <c r="C30" s="53"/>
      <c r="D30" s="484" t="str">
        <f>IF(B30="","",'Input Page'!E173)</f>
        <v/>
      </c>
      <c r="E30" s="484" t="str">
        <f>IF(B30="","",'Input Page'!F173)</f>
        <v/>
      </c>
      <c r="F30" s="1098" t="str">
        <f>IF(B30="","",'Input Page'!G173)</f>
        <v/>
      </c>
      <c r="G30" s="1098" t="str">
        <f>IF(B30="","",'Input Page'!H173)</f>
        <v/>
      </c>
      <c r="H30" s="484" t="str">
        <f>IF(B30="","",'Input Page'!I173)</f>
        <v/>
      </c>
      <c r="I30" s="792"/>
      <c r="J30" s="485" t="str">
        <f>F30</f>
        <v/>
      </c>
      <c r="K30" s="1375"/>
      <c r="L30" s="1130"/>
      <c r="M30" s="174"/>
      <c r="N30" s="797"/>
      <c r="O30" s="444"/>
      <c r="P30" s="287"/>
      <c r="Q30" s="1099" t="str">
        <f t="shared" ref="Q30:Q36" si="7">IF(B30="","",F30*D30*12)</f>
        <v/>
      </c>
      <c r="R30" s="485"/>
      <c r="S30" s="485" t="str">
        <f t="shared" ref="S30:S36" si="8">IF(B30="","",H30*D30*12)</f>
        <v/>
      </c>
    </row>
    <row r="31" spans="2:19" ht="15.75" hidden="1">
      <c r="B31" s="135" t="str">
        <f>IF('Input Page'!B174="","",'Input Page'!B174)</f>
        <v/>
      </c>
      <c r="C31" s="53"/>
      <c r="D31" s="484" t="str">
        <f>IF(B31="","",'Input Page'!E174)</f>
        <v/>
      </c>
      <c r="E31" s="484" t="str">
        <f>IF(B31="","",'Input Page'!F174)</f>
        <v/>
      </c>
      <c r="F31" s="484" t="str">
        <f>IF(B31="","",'Input Page'!G174)</f>
        <v/>
      </c>
      <c r="G31" s="484" t="str">
        <f>IF(B31="","",'Input Page'!H174)</f>
        <v/>
      </c>
      <c r="H31" s="484" t="str">
        <f>IF(B31="","",'Input Page'!I174)</f>
        <v/>
      </c>
      <c r="I31" s="792"/>
      <c r="J31" s="485" t="str">
        <f>IF(B31="","",'Input Page'!L174)</f>
        <v/>
      </c>
      <c r="K31" s="1375"/>
      <c r="L31" s="1130"/>
      <c r="M31" s="174"/>
      <c r="N31" s="797"/>
      <c r="O31" s="444"/>
      <c r="P31" s="287"/>
      <c r="Q31" s="1099" t="str">
        <f t="shared" si="7"/>
        <v/>
      </c>
      <c r="R31" s="485"/>
      <c r="S31" s="485" t="str">
        <f t="shared" si="8"/>
        <v/>
      </c>
    </row>
    <row r="32" spans="2:19" ht="15.75" hidden="1">
      <c r="B32" s="135" t="str">
        <f>IF('Input Page'!B175="","",'Input Page'!B175)</f>
        <v/>
      </c>
      <c r="C32" s="53"/>
      <c r="D32" s="484" t="str">
        <f>IF(B32="","",'Input Page'!E175)</f>
        <v/>
      </c>
      <c r="E32" s="484" t="str">
        <f>IF(B32="","",'Input Page'!F175)</f>
        <v/>
      </c>
      <c r="F32" s="484" t="str">
        <f>IF(B32="","",'Input Page'!G175)</f>
        <v/>
      </c>
      <c r="G32" s="484" t="str">
        <f>IF(B32="","",'Input Page'!H175)</f>
        <v/>
      </c>
      <c r="H32" s="484" t="str">
        <f>IF(B32="","",'Input Page'!I175)</f>
        <v/>
      </c>
      <c r="I32" s="792"/>
      <c r="J32" s="485" t="str">
        <f>IF(B32="","",'Input Page'!L175)</f>
        <v/>
      </c>
      <c r="K32" s="1375"/>
      <c r="L32" s="1130"/>
      <c r="M32" s="174"/>
      <c r="N32" s="797"/>
      <c r="O32" s="444"/>
      <c r="P32" s="287"/>
      <c r="Q32" s="1099" t="str">
        <f t="shared" si="7"/>
        <v/>
      </c>
      <c r="R32" s="485"/>
      <c r="S32" s="485" t="str">
        <f t="shared" si="8"/>
        <v/>
      </c>
    </row>
    <row r="33" spans="2:19" ht="15.75" hidden="1">
      <c r="B33" s="135" t="str">
        <f>IF('Input Page'!B176="","",'Input Page'!B176)</f>
        <v/>
      </c>
      <c r="C33" s="53"/>
      <c r="D33" s="484" t="str">
        <f>IF(B33="","",'Input Page'!E176)</f>
        <v/>
      </c>
      <c r="E33" s="484" t="str">
        <f>IF(B33="","",'Input Page'!F176)</f>
        <v/>
      </c>
      <c r="F33" s="484" t="str">
        <f>IF(B33="","",'Input Page'!G176)</f>
        <v/>
      </c>
      <c r="G33" s="484" t="str">
        <f>IF(B33="","",'Input Page'!H176)</f>
        <v/>
      </c>
      <c r="H33" s="484" t="str">
        <f>IF(B33="","",'Input Page'!I176)</f>
        <v/>
      </c>
      <c r="I33" s="792"/>
      <c r="J33" s="485" t="str">
        <f>IF(B33="","",'Input Page'!L176)</f>
        <v/>
      </c>
      <c r="K33" s="1375"/>
      <c r="L33" s="1130"/>
      <c r="M33" s="174"/>
      <c r="N33" s="797"/>
      <c r="O33" s="444"/>
      <c r="P33" s="287"/>
      <c r="Q33" s="1099" t="str">
        <f t="shared" si="7"/>
        <v/>
      </c>
      <c r="R33" s="485"/>
      <c r="S33" s="485" t="str">
        <f t="shared" si="8"/>
        <v/>
      </c>
    </row>
    <row r="34" spans="2:19" ht="15.75" hidden="1">
      <c r="B34" s="135" t="str">
        <f>IF('Input Page'!B177="","",'Input Page'!B177)</f>
        <v/>
      </c>
      <c r="C34" s="53"/>
      <c r="D34" s="484" t="str">
        <f>IF(B34="","",'Input Page'!E177)</f>
        <v/>
      </c>
      <c r="E34" s="484" t="str">
        <f>IF(B34="","",'Input Page'!F177)</f>
        <v/>
      </c>
      <c r="F34" s="484" t="str">
        <f>IF(B34="","",'Input Page'!G177)</f>
        <v/>
      </c>
      <c r="G34" s="484" t="str">
        <f>IF(B34="","",'Input Page'!H177)</f>
        <v/>
      </c>
      <c r="H34" s="484" t="str">
        <f>IF(B34="","",'Input Page'!I177)</f>
        <v/>
      </c>
      <c r="I34" s="792"/>
      <c r="J34" s="485" t="str">
        <f>IF(B34="","",'Input Page'!L177)</f>
        <v/>
      </c>
      <c r="K34" s="1375"/>
      <c r="L34" s="1130"/>
      <c r="M34" s="174"/>
      <c r="N34" s="797"/>
      <c r="O34" s="444"/>
      <c r="P34" s="287"/>
      <c r="Q34" s="1099" t="str">
        <f t="shared" si="7"/>
        <v/>
      </c>
      <c r="R34" s="485"/>
      <c r="S34" s="485" t="str">
        <f t="shared" si="8"/>
        <v/>
      </c>
    </row>
    <row r="35" spans="2:19" ht="15.75" hidden="1">
      <c r="B35" s="135" t="str">
        <f>IF('Input Page'!B178="","",'Input Page'!B178)</f>
        <v/>
      </c>
      <c r="C35" s="53"/>
      <c r="D35" s="484" t="str">
        <f>IF(B35="","",'Input Page'!E178)</f>
        <v/>
      </c>
      <c r="E35" s="484" t="str">
        <f>IF(B35="","",'Input Page'!F178)</f>
        <v/>
      </c>
      <c r="F35" s="484" t="str">
        <f>IF(B35="","",'Input Page'!G178)</f>
        <v/>
      </c>
      <c r="G35" s="484" t="str">
        <f>IF(B35="","",'Input Page'!H178)</f>
        <v/>
      </c>
      <c r="H35" s="484" t="str">
        <f>IF(B35="","",'Input Page'!I178)</f>
        <v/>
      </c>
      <c r="I35" s="792"/>
      <c r="J35" s="485" t="str">
        <f>IF(B35="","",'Input Page'!L178)</f>
        <v/>
      </c>
      <c r="K35" s="1375"/>
      <c r="L35" s="1130"/>
      <c r="M35" s="174"/>
      <c r="N35" s="797"/>
      <c r="O35" s="444"/>
      <c r="P35" s="287"/>
      <c r="Q35" s="1099" t="str">
        <f t="shared" si="7"/>
        <v/>
      </c>
      <c r="R35" s="485"/>
      <c r="S35" s="485" t="str">
        <f t="shared" si="8"/>
        <v/>
      </c>
    </row>
    <row r="36" spans="2:19" ht="15.75" hidden="1">
      <c r="B36" s="794" t="str">
        <f>IF('Input Page'!B179="","",'Input Page'!B179)</f>
        <v/>
      </c>
      <c r="C36" s="225"/>
      <c r="D36" s="492" t="str">
        <f>IF(B36="","",'Input Page'!E179)</f>
        <v/>
      </c>
      <c r="E36" s="492" t="str">
        <f>IF(B36="","",'Input Page'!F179)</f>
        <v/>
      </c>
      <c r="F36" s="492" t="str">
        <f>IF(B36="","",'Input Page'!G179)</f>
        <v/>
      </c>
      <c r="G36" s="492" t="str">
        <f>IF(B36="","",'Input Page'!H179)</f>
        <v/>
      </c>
      <c r="H36" s="492" t="str">
        <f>IF(B36="","",'Input Page'!I179)</f>
        <v/>
      </c>
      <c r="I36" s="384"/>
      <c r="J36" s="1047" t="str">
        <f>IF(B36="","",'Input Page'!L179)</f>
        <v/>
      </c>
      <c r="K36" s="1376"/>
      <c r="L36" s="1131"/>
      <c r="M36" s="1117"/>
      <c r="N36" s="1118"/>
      <c r="O36" s="444"/>
      <c r="P36" s="287"/>
      <c r="Q36" s="1100" t="str">
        <f t="shared" si="7"/>
        <v/>
      </c>
      <c r="R36" s="1047"/>
      <c r="S36" s="1047" t="str">
        <f t="shared" si="8"/>
        <v/>
      </c>
    </row>
    <row r="37" spans="2:19" ht="15.75">
      <c r="B37" s="794"/>
      <c r="C37" s="225"/>
      <c r="D37" s="492"/>
      <c r="E37" s="492"/>
      <c r="F37" s="492"/>
      <c r="G37" s="492"/>
      <c r="H37" s="492"/>
      <c r="I37" s="384"/>
      <c r="J37" s="1047"/>
      <c r="K37" s="1376"/>
      <c r="L37" s="1131"/>
      <c r="M37" s="1117"/>
      <c r="N37" s="1118"/>
      <c r="O37" s="1483"/>
      <c r="P37" s="287"/>
      <c r="Q37" s="1543"/>
      <c r="R37" s="1543"/>
      <c r="S37" s="1543"/>
    </row>
    <row r="38" spans="2:19" ht="15.75">
      <c r="B38" s="1069" t="s">
        <v>614</v>
      </c>
      <c r="C38" s="1070"/>
      <c r="D38" s="622">
        <f>SUM(D30:D36)</f>
        <v>0</v>
      </c>
      <c r="E38" s="1071"/>
      <c r="F38" s="1104">
        <f>Q38</f>
        <v>0</v>
      </c>
      <c r="G38" s="1072"/>
      <c r="H38" s="1104">
        <f>S38</f>
        <v>0</v>
      </c>
      <c r="I38" s="1073"/>
      <c r="J38" s="1073"/>
      <c r="K38" s="1377"/>
      <c r="L38" s="1132"/>
      <c r="M38" s="1120"/>
      <c r="N38" s="1121"/>
      <c r="O38" s="444"/>
      <c r="P38" s="287"/>
      <c r="Q38" s="693">
        <f>SUM(Q30:Q36)</f>
        <v>0</v>
      </c>
      <c r="R38" s="693"/>
      <c r="S38" s="693">
        <f t="shared" ref="S38" si="9">SUM(S30:S36)</f>
        <v>0</v>
      </c>
    </row>
    <row r="39" spans="2:19" ht="16.5" thickBot="1">
      <c r="B39" s="1065" t="s">
        <v>615</v>
      </c>
      <c r="C39" s="1066"/>
      <c r="D39" s="1064">
        <f>D14+D27+D38</f>
        <v>0</v>
      </c>
      <c r="E39" s="1064"/>
      <c r="F39" s="1064">
        <f>F14+F27+F38</f>
        <v>0</v>
      </c>
      <c r="G39" s="1064"/>
      <c r="H39" s="1064">
        <f t="shared" ref="H39" si="10">H14+H27+H38</f>
        <v>0</v>
      </c>
      <c r="I39" s="1067"/>
      <c r="J39" s="1067"/>
      <c r="K39" s="1378"/>
      <c r="L39" s="1133"/>
      <c r="M39" s="1068"/>
      <c r="N39" s="1119"/>
      <c r="O39" s="285"/>
      <c r="P39" s="286"/>
    </row>
    <row r="40" spans="2:19" ht="15.75">
      <c r="B40" s="24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7"/>
    </row>
    <row r="41" spans="2:19" ht="15.75">
      <c r="B41" s="7"/>
      <c r="C41" s="38"/>
      <c r="D41" s="38"/>
      <c r="E41" s="38"/>
      <c r="F41" s="38"/>
      <c r="G41" s="38"/>
      <c r="H41" s="38"/>
      <c r="I41" s="38"/>
      <c r="J41" s="38"/>
      <c r="L41" s="38"/>
      <c r="M41" s="7"/>
    </row>
    <row r="42" spans="2:19" ht="15.75">
      <c r="B42" s="24"/>
      <c r="C42" s="7"/>
      <c r="D42" s="7"/>
      <c r="E42" s="7"/>
      <c r="F42" s="7"/>
      <c r="G42" s="7"/>
      <c r="H42" s="7"/>
      <c r="I42" s="7"/>
      <c r="J42" s="7"/>
      <c r="L42" s="7"/>
      <c r="M42" s="7"/>
    </row>
    <row r="43" spans="2:19" ht="15.75">
      <c r="B43" s="5"/>
      <c r="C43" s="5"/>
      <c r="D43" s="5"/>
      <c r="E43" s="5"/>
      <c r="F43" s="5"/>
      <c r="G43" s="5"/>
      <c r="H43" s="5"/>
      <c r="I43" s="56"/>
      <c r="J43" s="56"/>
      <c r="K43" s="56"/>
      <c r="L43" s="56"/>
      <c r="M43" s="7"/>
    </row>
    <row r="44" spans="2:19" ht="15.75">
      <c r="B44" s="34"/>
      <c r="C44" s="5"/>
      <c r="D44" s="57"/>
      <c r="E44" s="5"/>
      <c r="F44" s="5"/>
      <c r="G44" s="5"/>
      <c r="H44" s="5"/>
      <c r="I44" s="5"/>
      <c r="J44" s="5"/>
      <c r="K44" s="5"/>
      <c r="L44" s="5"/>
    </row>
    <row r="45" spans="2:19" ht="15.75">
      <c r="C45" s="34"/>
      <c r="D45" s="5"/>
      <c r="E45" s="581"/>
      <c r="F45" s="5"/>
      <c r="G45" s="5"/>
      <c r="H45" s="5"/>
      <c r="I45" s="5"/>
      <c r="J45" s="5"/>
      <c r="K45" s="5"/>
      <c r="L45" s="5"/>
    </row>
    <row r="46" spans="2:19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2:19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2:19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2:1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2:1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</sheetData>
  <mergeCells count="3">
    <mergeCell ref="I3:K3"/>
    <mergeCell ref="B1:N1"/>
    <mergeCell ref="B2:N2"/>
  </mergeCells>
  <phoneticPr fontId="7" type="noConversion"/>
  <printOptions horizontalCentered="1"/>
  <pageMargins left="1" right="1" top="1" bottom="1" header="0.5" footer="0.5"/>
  <pageSetup scale="44" fitToHeight="0" orientation="portrait" r:id="rId1"/>
  <headerFooter scaleWithDoc="0">
    <oddHeader xml:space="preserve">&amp;R&amp;"Times New Roman,Regular"&amp;7
</oddHeader>
    <oddFooter>&amp;L&amp;8PRIVELEGED AND CONFIDENTIAL&amp;R&amp;G</oddFooter>
    <firstHeader>&amp;CEXECUTIVE SUMMARY</first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8E37B9F-2091-4AFF-80F6-57932FDE8F26}">
            <xm:f>NOT(ISERROR(SEARCH("HUD",O5)))</xm:f>
            <xm:f>"HUD"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O5:O14 O16:O38</xm:sqref>
        </x14:conditionalFormatting>
        <x14:conditionalFormatting xmlns:xm="http://schemas.microsoft.com/office/excel/2006/main">
          <x14:cfRule type="containsText" priority="2" operator="containsText" id="{7730CFE3-A286-4CFC-8972-76CA50CD818E}">
            <xm:f>NOT(ISERROR(SEARCH("Appraisal",P5)))</xm:f>
            <xm:f>"Appraisal"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P5:P14 P16:P38</xm:sqref>
        </x14:conditionalFormatting>
        <x14:conditionalFormatting xmlns:xm="http://schemas.microsoft.com/office/excel/2006/main">
          <x14:cfRule type="containsText" priority="1" operator="containsText" id="{0443A911-3D3E-452F-8FE4-4C7459B9F2CD}">
            <xm:f>NOT(ISERROR(SEARCH("GOOD",O5)))</xm:f>
            <xm:f>"GOOD"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O5:P14 O16:P38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0CE3-92EA-4AE8-ACED-F9DC8F4523DF}">
  <dimension ref="C4:Q31"/>
  <sheetViews>
    <sheetView zoomScale="70" zoomScaleNormal="70" workbookViewId="0">
      <selection activeCell="Q19" sqref="Q19"/>
    </sheetView>
  </sheetViews>
  <sheetFormatPr defaultRowHeight="15"/>
  <cols>
    <col min="3" max="3" width="19.42578125" customWidth="1"/>
    <col min="4" max="4" width="23.85546875" customWidth="1"/>
    <col min="5" max="5" width="12.140625" customWidth="1"/>
    <col min="6" max="6" width="13.28515625" customWidth="1"/>
    <col min="7" max="7" width="19.42578125" customWidth="1"/>
    <col min="8" max="8" width="12.140625" customWidth="1"/>
    <col min="9" max="9" width="15.5703125" customWidth="1"/>
    <col min="10" max="11" width="17.42578125" customWidth="1"/>
    <col min="12" max="12" width="13.140625" customWidth="1"/>
    <col min="13" max="13" width="15.140625" customWidth="1"/>
    <col min="14" max="14" width="17.42578125" customWidth="1"/>
    <col min="15" max="15" width="9.85546875" bestFit="1" customWidth="1"/>
  </cols>
  <sheetData>
    <row r="4" spans="3:17" ht="32.25" thickBot="1">
      <c r="C4" s="1455" t="s">
        <v>69</v>
      </c>
      <c r="D4" s="1455" t="s">
        <v>70</v>
      </c>
      <c r="E4" s="1455" t="s">
        <v>650</v>
      </c>
      <c r="F4" s="1455" t="s">
        <v>1059</v>
      </c>
      <c r="G4" s="1455" t="s">
        <v>1054</v>
      </c>
      <c r="H4" s="1455" t="s">
        <v>1043</v>
      </c>
      <c r="I4" s="1455" t="s">
        <v>1052</v>
      </c>
      <c r="J4" s="1455" t="s">
        <v>1046</v>
      </c>
      <c r="K4" s="1455" t="s">
        <v>1045</v>
      </c>
      <c r="L4" s="1455" t="s">
        <v>1060</v>
      </c>
      <c r="M4" s="1455" t="s">
        <v>1058</v>
      </c>
    </row>
    <row r="5" spans="3:17" ht="32.25" hidden="1" thickBot="1">
      <c r="C5" s="1485" t="s">
        <v>1039</v>
      </c>
      <c r="D5" s="1485" t="s">
        <v>1051</v>
      </c>
      <c r="E5" s="1486">
        <v>101</v>
      </c>
      <c r="F5" s="1487">
        <v>1</v>
      </c>
      <c r="G5" s="1488">
        <v>100000</v>
      </c>
      <c r="H5" s="1485">
        <v>1982</v>
      </c>
      <c r="I5" s="1485" t="s">
        <v>1053</v>
      </c>
      <c r="J5" s="1489" t="s">
        <v>1053</v>
      </c>
      <c r="K5" s="1490" t="s">
        <v>1053</v>
      </c>
      <c r="L5" s="1490"/>
      <c r="M5" s="1490" t="s">
        <v>1053</v>
      </c>
      <c r="Q5" s="1455" t="s">
        <v>1044</v>
      </c>
    </row>
    <row r="6" spans="3:17" ht="35.1" customHeight="1">
      <c r="C6" s="1491"/>
      <c r="D6" s="1492"/>
      <c r="E6" s="1492"/>
      <c r="F6" s="1487"/>
      <c r="G6" s="1493"/>
      <c r="H6" s="1492"/>
      <c r="I6" s="1494"/>
      <c r="J6" s="1495" t="e">
        <f>I6/E6</f>
        <v>#DIV/0!</v>
      </c>
      <c r="K6" s="1496" t="e">
        <f>I6/G6</f>
        <v>#DIV/0!</v>
      </c>
      <c r="L6" s="1554"/>
      <c r="M6" s="1497"/>
    </row>
    <row r="7" spans="3:17" ht="35.1" customHeight="1">
      <c r="C7" s="1498"/>
      <c r="D7" s="1466"/>
      <c r="E7" s="1467"/>
      <c r="F7" s="1507"/>
      <c r="G7" s="1471"/>
      <c r="H7" s="1466"/>
      <c r="I7" s="1468"/>
      <c r="J7" s="1470" t="e">
        <f>I7/E7</f>
        <v>#DIV/0!</v>
      </c>
      <c r="K7" s="1469" t="e">
        <f>I7/G7</f>
        <v>#DIV/0!</v>
      </c>
      <c r="L7" s="1555"/>
      <c r="M7" s="1499"/>
    </row>
    <row r="8" spans="3:17" ht="35.1" customHeight="1">
      <c r="C8" s="1498"/>
      <c r="D8" s="1466"/>
      <c r="E8" s="1467"/>
      <c r="F8" s="1507"/>
      <c r="G8" s="1471"/>
      <c r="H8" s="1466"/>
      <c r="I8" s="1468"/>
      <c r="J8" s="1470" t="e">
        <f>I8/E8</f>
        <v>#DIV/0!</v>
      </c>
      <c r="K8" s="1469" t="e">
        <f>I8/G8</f>
        <v>#DIV/0!</v>
      </c>
      <c r="L8" s="1555"/>
      <c r="M8" s="1499"/>
    </row>
    <row r="9" spans="3:17" ht="35.1" customHeight="1">
      <c r="C9" s="1498"/>
      <c r="D9" s="1466"/>
      <c r="E9" s="1467"/>
      <c r="F9" s="1484"/>
      <c r="G9" s="1471"/>
      <c r="H9" s="1466"/>
      <c r="I9" s="1468"/>
      <c r="J9" s="1470" t="e">
        <f>I9/E9</f>
        <v>#DIV/0!</v>
      </c>
      <c r="K9" s="1469" t="e">
        <f>I9/G9</f>
        <v>#DIV/0!</v>
      </c>
      <c r="L9" s="1555"/>
      <c r="M9" s="1499"/>
    </row>
    <row r="10" spans="3:17" ht="35.1" customHeight="1">
      <c r="C10" s="1498"/>
      <c r="D10" s="1466"/>
      <c r="E10" s="1467"/>
      <c r="F10" s="1484"/>
      <c r="G10" s="1471"/>
      <c r="H10" s="1466"/>
      <c r="I10" s="1468"/>
      <c r="J10" s="1470" t="e">
        <f>I10/E10</f>
        <v>#DIV/0!</v>
      </c>
      <c r="K10" s="1469" t="e">
        <f>I10/G10</f>
        <v>#DIV/0!</v>
      </c>
      <c r="L10" s="1555"/>
      <c r="M10" s="1499"/>
    </row>
    <row r="11" spans="3:17" ht="15.75" thickBot="1">
      <c r="C11" s="1500" t="s">
        <v>27</v>
      </c>
      <c r="D11" s="1501"/>
      <c r="E11" s="1501" t="e">
        <f>AVERAGE(E6:E10)</f>
        <v>#DIV/0!</v>
      </c>
      <c r="F11" s="1501"/>
      <c r="G11" s="1501"/>
      <c r="H11" s="1502"/>
      <c r="I11" s="1506" t="e">
        <f>AVERAGE(I6:I10)</f>
        <v>#DIV/0!</v>
      </c>
      <c r="J11" s="1505" t="e">
        <f>AVERAGE(J6:J10)</f>
        <v>#DIV/0!</v>
      </c>
      <c r="K11" s="1504" t="e">
        <f>AVERAGE(K6:K10)</f>
        <v>#DIV/0!</v>
      </c>
      <c r="L11" s="1504"/>
      <c r="M11" s="1503"/>
    </row>
    <row r="13" spans="3:17">
      <c r="E13" t="s">
        <v>250</v>
      </c>
    </row>
    <row r="15" spans="3:17" ht="30">
      <c r="C15" s="1472" t="s">
        <v>69</v>
      </c>
      <c r="D15" s="1472" t="s">
        <v>70</v>
      </c>
      <c r="E15" s="1472" t="s">
        <v>650</v>
      </c>
      <c r="F15" s="1472" t="s">
        <v>1043</v>
      </c>
      <c r="G15" s="1472" t="s">
        <v>1056</v>
      </c>
      <c r="H15" s="1472" t="s">
        <v>1055</v>
      </c>
      <c r="I15" s="1472" t="s">
        <v>175</v>
      </c>
      <c r="J15" s="1472" t="s">
        <v>1084</v>
      </c>
      <c r="K15" s="1539" t="s">
        <v>1057</v>
      </c>
      <c r="L15" s="1544" t="s">
        <v>1085</v>
      </c>
    </row>
    <row r="16" spans="3:17" ht="22.5" customHeight="1">
      <c r="C16" s="1687"/>
      <c r="D16" s="1687"/>
      <c r="E16" s="1687"/>
      <c r="F16" s="1687"/>
      <c r="G16" s="1687"/>
      <c r="H16" s="1687"/>
      <c r="I16" s="1473"/>
      <c r="J16" s="1468"/>
      <c r="K16" s="1471"/>
      <c r="L16" s="1545" t="e">
        <f>J16/K16</f>
        <v>#DIV/0!</v>
      </c>
    </row>
    <row r="17" spans="3:12" ht="46.5" customHeight="1" thickBot="1">
      <c r="C17" s="1688"/>
      <c r="D17" s="1688"/>
      <c r="E17" s="1688"/>
      <c r="F17" s="1688"/>
      <c r="G17" s="1688"/>
      <c r="H17" s="1688"/>
      <c r="I17" s="1473"/>
      <c r="J17" s="1557"/>
      <c r="K17" s="1537"/>
      <c r="L17" s="1550" t="e">
        <f t="shared" ref="L17:L21" si="0">J17/K17</f>
        <v>#DIV/0!</v>
      </c>
    </row>
    <row r="18" spans="3:12" ht="20.45" customHeight="1">
      <c r="C18" s="1689"/>
      <c r="D18" s="1689"/>
      <c r="E18" s="1689"/>
      <c r="F18" s="1689"/>
      <c r="G18" s="1689"/>
      <c r="H18" s="1689"/>
      <c r="I18" s="1475"/>
      <c r="J18" s="1551"/>
      <c r="K18" s="1493"/>
      <c r="L18" s="1548" t="e">
        <f t="shared" si="0"/>
        <v>#DIV/0!</v>
      </c>
    </row>
    <row r="19" spans="3:12">
      <c r="C19" s="1688"/>
      <c r="D19" s="1688"/>
      <c r="E19" s="1688"/>
      <c r="F19" s="1688"/>
      <c r="G19" s="1688"/>
      <c r="H19" s="1688"/>
      <c r="I19" s="1473"/>
      <c r="J19" s="1466"/>
      <c r="K19" s="1471"/>
      <c r="L19" s="1545" t="e">
        <f t="shared" si="0"/>
        <v>#DIV/0!</v>
      </c>
    </row>
    <row r="20" spans="3:12">
      <c r="C20" s="1688"/>
      <c r="D20" s="1688"/>
      <c r="E20" s="1688"/>
      <c r="F20" s="1688"/>
      <c r="G20" s="1688"/>
      <c r="H20" s="1688"/>
      <c r="I20" s="1473"/>
      <c r="J20" s="1474"/>
      <c r="K20" s="1471"/>
      <c r="L20" s="1545" t="e">
        <f t="shared" si="0"/>
        <v>#DIV/0!</v>
      </c>
    </row>
    <row r="21" spans="3:12" ht="33.6" customHeight="1" thickBot="1">
      <c r="C21" s="1690"/>
      <c r="D21" s="1690"/>
      <c r="E21" s="1690"/>
      <c r="F21" s="1690"/>
      <c r="G21" s="1690"/>
      <c r="H21" s="1690"/>
      <c r="I21" s="1477"/>
      <c r="J21" s="1478"/>
      <c r="K21" s="1479"/>
      <c r="L21" s="1547" t="e">
        <f t="shared" si="0"/>
        <v>#DIV/0!</v>
      </c>
    </row>
    <row r="22" spans="3:12" ht="33" customHeight="1">
      <c r="C22" s="1689"/>
      <c r="D22" s="1689"/>
      <c r="E22" s="1689"/>
      <c r="F22" s="1689"/>
      <c r="G22" s="1689"/>
      <c r="H22" s="1689"/>
      <c r="I22" s="1475"/>
      <c r="J22" s="1556"/>
      <c r="K22" s="1476"/>
      <c r="L22" s="1546" t="e">
        <f>J22/K22</f>
        <v>#DIV/0!</v>
      </c>
    </row>
    <row r="23" spans="3:12" ht="33" customHeight="1">
      <c r="C23" s="1688"/>
      <c r="D23" s="1688"/>
      <c r="E23" s="1688"/>
      <c r="F23" s="1688"/>
      <c r="G23" s="1688"/>
      <c r="H23" s="1688"/>
      <c r="I23" s="1473"/>
      <c r="J23" s="1468"/>
      <c r="K23" s="1471"/>
      <c r="L23" s="1546" t="e">
        <f t="shared" ref="L23:L24" si="1">J23/K23</f>
        <v>#DIV/0!</v>
      </c>
    </row>
    <row r="24" spans="3:12" ht="33" customHeight="1" thickBot="1">
      <c r="C24" s="1690"/>
      <c r="D24" s="1690"/>
      <c r="E24" s="1690"/>
      <c r="F24" s="1690"/>
      <c r="G24" s="1690"/>
      <c r="H24" s="1690"/>
      <c r="I24" s="1536"/>
      <c r="J24" s="1557"/>
      <c r="K24" s="1537"/>
      <c r="L24" s="1546" t="e">
        <f t="shared" si="1"/>
        <v>#DIV/0!</v>
      </c>
    </row>
    <row r="25" spans="3:12" ht="71.45" customHeight="1">
      <c r="C25" s="1689"/>
      <c r="D25" s="1689"/>
      <c r="E25" s="1689"/>
      <c r="F25" s="1689"/>
      <c r="G25" s="1689"/>
      <c r="H25" s="1689"/>
      <c r="I25" s="1538"/>
      <c r="J25" s="1494"/>
      <c r="K25" s="1493"/>
      <c r="L25" s="1549" t="e">
        <f>J25/K25</f>
        <v>#DIV/0!</v>
      </c>
    </row>
    <row r="26" spans="3:12">
      <c r="C26" s="1688"/>
      <c r="D26" s="1688"/>
      <c r="E26" s="1688"/>
      <c r="F26" s="1688"/>
      <c r="G26" s="1688"/>
      <c r="H26" s="1688"/>
      <c r="I26" s="1473"/>
      <c r="J26" s="1468"/>
      <c r="K26" s="1537"/>
      <c r="L26" s="1545" t="e">
        <f t="shared" ref="L26:L30" si="2">J26/K26</f>
        <v>#DIV/0!</v>
      </c>
    </row>
    <row r="27" spans="3:12" ht="15.75" thickBot="1">
      <c r="C27" s="1691"/>
      <c r="D27" s="1691"/>
      <c r="E27" s="1691"/>
      <c r="F27" s="1691"/>
      <c r="G27" s="1691"/>
      <c r="H27" s="1691"/>
      <c r="I27" s="1473"/>
      <c r="J27" s="1468"/>
      <c r="K27" s="1471"/>
      <c r="L27" s="1546" t="e">
        <f t="shared" si="2"/>
        <v>#DIV/0!</v>
      </c>
    </row>
    <row r="28" spans="3:12">
      <c r="C28" s="1689"/>
      <c r="D28" s="1689"/>
      <c r="E28" s="1689"/>
      <c r="F28" s="1689"/>
      <c r="G28" s="1689"/>
      <c r="H28" s="1689"/>
      <c r="I28" s="1538"/>
      <c r="J28" s="1494"/>
      <c r="K28" s="1493"/>
      <c r="L28" s="1548" t="e">
        <f t="shared" si="2"/>
        <v>#DIV/0!</v>
      </c>
    </row>
    <row r="29" spans="3:12">
      <c r="C29" s="1688"/>
      <c r="D29" s="1688"/>
      <c r="E29" s="1688"/>
      <c r="F29" s="1688"/>
      <c r="G29" s="1688"/>
      <c r="H29" s="1688"/>
      <c r="I29" s="1473"/>
      <c r="J29" s="1468"/>
      <c r="K29" s="1537"/>
      <c r="L29" s="1550" t="e">
        <f t="shared" si="2"/>
        <v>#DIV/0!</v>
      </c>
    </row>
    <row r="30" spans="3:12">
      <c r="C30" s="1691"/>
      <c r="D30" s="1691"/>
      <c r="E30" s="1691"/>
      <c r="F30" s="1691"/>
      <c r="G30" s="1691"/>
      <c r="H30" s="1691"/>
      <c r="I30" s="1473"/>
      <c r="J30" s="1468"/>
      <c r="K30" s="1471"/>
      <c r="L30" s="1545" t="e">
        <f t="shared" si="2"/>
        <v>#DIV/0!</v>
      </c>
    </row>
    <row r="31" spans="3:12">
      <c r="K31" s="1553" t="s">
        <v>1086</v>
      </c>
      <c r="L31" s="1552" t="e">
        <f>AVERAGE(L16:L30)</f>
        <v>#DIV/0!</v>
      </c>
    </row>
  </sheetData>
  <mergeCells count="30">
    <mergeCell ref="C28:C30"/>
    <mergeCell ref="D28:D30"/>
    <mergeCell ref="E28:E30"/>
    <mergeCell ref="F28:F30"/>
    <mergeCell ref="G28:G30"/>
    <mergeCell ref="H28:H30"/>
    <mergeCell ref="H25:H27"/>
    <mergeCell ref="G25:G27"/>
    <mergeCell ref="F25:F27"/>
    <mergeCell ref="E25:E27"/>
    <mergeCell ref="D25:D27"/>
    <mergeCell ref="C25:C27"/>
    <mergeCell ref="H22:H24"/>
    <mergeCell ref="G22:G24"/>
    <mergeCell ref="F22:F24"/>
    <mergeCell ref="E22:E24"/>
    <mergeCell ref="D22:D24"/>
    <mergeCell ref="C22:C24"/>
    <mergeCell ref="G16:G17"/>
    <mergeCell ref="H16:H17"/>
    <mergeCell ref="C18:C21"/>
    <mergeCell ref="C16:C17"/>
    <mergeCell ref="D16:D17"/>
    <mergeCell ref="E16:E17"/>
    <mergeCell ref="F16:F17"/>
    <mergeCell ref="H18:H21"/>
    <mergeCell ref="G18:G21"/>
    <mergeCell ref="F18:F21"/>
    <mergeCell ref="E18:E21"/>
    <mergeCell ref="D18:D21"/>
  </mergeCells>
  <phoneticPr fontId="7" type="noConversion"/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34E2-8C8A-4F4E-9250-377048061142}">
  <sheetPr>
    <tabColor rgb="FFCCCCFF"/>
    <pageSetUpPr fitToPage="1"/>
  </sheetPr>
  <dimension ref="C9:H25"/>
  <sheetViews>
    <sheetView view="pageBreakPreview" zoomScaleNormal="100" zoomScaleSheetLayoutView="100" workbookViewId="0">
      <selection activeCell="B20" sqref="B20"/>
    </sheetView>
  </sheetViews>
  <sheetFormatPr defaultRowHeight="15"/>
  <sheetData>
    <row r="9" spans="3:8" ht="33">
      <c r="C9" s="1692" t="s">
        <v>244</v>
      </c>
      <c r="D9" s="1693"/>
      <c r="E9" s="1693"/>
      <c r="F9" s="1693"/>
      <c r="G9" s="1693"/>
      <c r="H9" s="1693"/>
    </row>
    <row r="13" spans="3:8" ht="18.75">
      <c r="C13" s="1694"/>
      <c r="D13" s="1695"/>
      <c r="E13" s="1695"/>
      <c r="F13" s="1695"/>
      <c r="G13" s="1695"/>
      <c r="H13" s="1695"/>
    </row>
    <row r="17" spans="4:7">
      <c r="D17" s="1695"/>
      <c r="E17" s="1695"/>
      <c r="F17" s="1695"/>
      <c r="G17" s="1695"/>
    </row>
    <row r="18" spans="4:7">
      <c r="D18" s="1695"/>
      <c r="E18" s="1695"/>
      <c r="F18" s="1695"/>
      <c r="G18" s="1695"/>
    </row>
    <row r="19" spans="4:7">
      <c r="D19" s="1695"/>
      <c r="E19" s="1695"/>
      <c r="F19" s="1695"/>
      <c r="G19" s="1695"/>
    </row>
    <row r="20" spans="4:7">
      <c r="D20" s="1695"/>
      <c r="E20" s="1695"/>
      <c r="F20" s="1695"/>
      <c r="G20" s="1695"/>
    </row>
    <row r="21" spans="4:7">
      <c r="D21" s="1695"/>
      <c r="E21" s="1695"/>
      <c r="F21" s="1695"/>
      <c r="G21" s="1695"/>
    </row>
    <row r="22" spans="4:7">
      <c r="D22" s="1695"/>
      <c r="E22" s="1695"/>
      <c r="F22" s="1695"/>
      <c r="G22" s="1695"/>
    </row>
    <row r="23" spans="4:7">
      <c r="D23" s="1695"/>
      <c r="E23" s="1695"/>
      <c r="F23" s="1695"/>
      <c r="G23" s="1695"/>
    </row>
    <row r="24" spans="4:7">
      <c r="D24" s="1695"/>
      <c r="E24" s="1695"/>
      <c r="F24" s="1695"/>
      <c r="G24" s="1695"/>
    </row>
    <row r="25" spans="4:7">
      <c r="D25" s="1695"/>
      <c r="E25" s="1695"/>
      <c r="F25" s="1695"/>
      <c r="G25" s="1695"/>
    </row>
  </sheetData>
  <mergeCells count="3">
    <mergeCell ref="C9:H9"/>
    <mergeCell ref="C13:H13"/>
    <mergeCell ref="D17:G2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CB7FCFAA934A4EAC6170BE6580EB75" ma:contentTypeVersion="13" ma:contentTypeDescription="Create a new document." ma:contentTypeScope="" ma:versionID="315827ab2743e3f0b853be43555144b1">
  <xsd:schema xmlns:xsd="http://www.w3.org/2001/XMLSchema" xmlns:xs="http://www.w3.org/2001/XMLSchema" xmlns:p="http://schemas.microsoft.com/office/2006/metadata/properties" xmlns:ns2="d9beda7f-36f9-43a3-9fc6-5999d4e0f644" xmlns:ns3="6d78a704-3c6c-4a62-a442-2ee7ffe12b70" targetNamespace="http://schemas.microsoft.com/office/2006/metadata/properties" ma:root="true" ma:fieldsID="2c92d1d48823b2cdbd58275a9107c2a9" ns2:_="" ns3:_="">
    <xsd:import namespace="d9beda7f-36f9-43a3-9fc6-5999d4e0f644"/>
    <xsd:import namespace="6d78a704-3c6c-4a62-a442-2ee7ffe12b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eda7f-36f9-43a3-9fc6-5999d4e0f6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8a704-3c6c-4a62-a442-2ee7ffe12b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F37702-FB34-403C-9E1E-489985A33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beda7f-36f9-43a3-9fc6-5999d4e0f644"/>
    <ds:schemaRef ds:uri="6d78a704-3c6c-4a62-a442-2ee7ffe12b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1A7ACF-71B1-4872-A839-FB911A2B933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794947-6598-42A6-AB7B-A6FB374F5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15</vt:i4>
      </vt:variant>
    </vt:vector>
  </HeadingPairs>
  <TitlesOfParts>
    <vt:vector size="40" baseType="lpstr">
      <vt:lpstr>Version History</vt:lpstr>
      <vt:lpstr>Pre Dev Costs</vt:lpstr>
      <vt:lpstr>Bio</vt:lpstr>
      <vt:lpstr>Recent Closings</vt:lpstr>
      <vt:lpstr>Input Page</vt:lpstr>
      <vt:lpstr>Asset Valuation</vt:lpstr>
      <vt:lpstr>Unit Mix</vt:lpstr>
      <vt:lpstr>Sale &amp; Rent Comparables</vt:lpstr>
      <vt:lpstr>Warehouse Cover</vt:lpstr>
      <vt:lpstr>Income &amp; OpEx</vt:lpstr>
      <vt:lpstr>Warehouse - 10 Year CF</vt:lpstr>
      <vt:lpstr>Perm - 15 Year CF</vt:lpstr>
      <vt:lpstr>Demographics</vt:lpstr>
      <vt:lpstr>Warehouse Exec Summary</vt:lpstr>
      <vt:lpstr>Warehouse Debt</vt:lpstr>
      <vt:lpstr>Warehouse Acq. Costs</vt:lpstr>
      <vt:lpstr>GP LP Returns</vt:lpstr>
      <vt:lpstr>LIHTC Cover</vt:lpstr>
      <vt:lpstr>LIHTC Exec Summary</vt:lpstr>
      <vt:lpstr>LIHTC Debt</vt:lpstr>
      <vt:lpstr>Development Costs</vt:lpstr>
      <vt:lpstr>Tax Credit Calculations</vt:lpstr>
      <vt:lpstr>Construction S&amp;U</vt:lpstr>
      <vt:lpstr>Timing-Leasing-TC Delivery</vt:lpstr>
      <vt:lpstr>RE Tax Analysis</vt:lpstr>
      <vt:lpstr>'Construction S&amp;U'!Print_Area</vt:lpstr>
      <vt:lpstr>'Development Costs'!Print_Area</vt:lpstr>
      <vt:lpstr>'Income &amp; OpEx'!Print_Area</vt:lpstr>
      <vt:lpstr>'LIHTC Debt'!Print_Area</vt:lpstr>
      <vt:lpstr>'LIHTC Exec Summary'!Print_Area</vt:lpstr>
      <vt:lpstr>'Perm - 15 Year CF'!Print_Area</vt:lpstr>
      <vt:lpstr>'Pre Dev Costs'!Print_Area</vt:lpstr>
      <vt:lpstr>'RE Tax Analysis'!Print_Area</vt:lpstr>
      <vt:lpstr>'Tax Credit Calculations'!Print_Area</vt:lpstr>
      <vt:lpstr>'Timing-Leasing-TC Delivery'!Print_Area</vt:lpstr>
      <vt:lpstr>'Unit Mix'!Print_Area</vt:lpstr>
      <vt:lpstr>'Warehouse - 10 Year CF'!Print_Area</vt:lpstr>
      <vt:lpstr>'Warehouse Acq. Costs'!Print_Area</vt:lpstr>
      <vt:lpstr>'Warehouse Debt'!Print_Area</vt:lpstr>
      <vt:lpstr>'Warehouse Exec Summary'!Print_Area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Green National Development</dc:creator>
  <cp:keywords/>
  <dc:description/>
  <cp:lastModifiedBy>Pavan Koneru</cp:lastModifiedBy>
  <cp:revision/>
  <dcterms:created xsi:type="dcterms:W3CDTF">2019-10-18T15:59:39Z</dcterms:created>
  <dcterms:modified xsi:type="dcterms:W3CDTF">2022-05-16T21:43:54Z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0x010100FACB7FCFAA934A4EAC6170BE6580EB75</vt:lpwstr>
  </property>
</Properties>
</file>